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Lieferantenmanagement\"/>
    </mc:Choice>
  </mc:AlternateContent>
  <xr:revisionPtr revIDLastSave="0" documentId="8_{CD905362-49AB-495C-B2DC-33732DDF007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Menü" sheetId="5" r:id="rId1"/>
    <sheet name="Zutaten Teil1 ingredients" sheetId="6" r:id="rId2"/>
    <sheet name=" Zutaten Teil2 ohne BRC IFS" sheetId="7" r:id="rId3"/>
    <sheet name="Verpackungen Teil1 packaging" sheetId="10" r:id="rId4"/>
    <sheet name="Verpackungen Teil2 ohne_BRC" sheetId="11" r:id="rId5"/>
  </sheets>
  <externalReferences>
    <externalReference r:id="rId6"/>
  </externalReferences>
  <definedNames>
    <definedName name="_xlnm.Print_Area" localSheetId="2">' Zutaten Teil2 ohne BRC IFS'!$A$2:$E$96</definedName>
    <definedName name="_xlnm.Print_Area" localSheetId="3">'Verpackungen Teil1 packaging'!$A$2:$E$135</definedName>
    <definedName name="_xlnm.Print_Area" localSheetId="4">'Verpackungen Teil2 ohne_BRC'!$A$2:$E$91</definedName>
    <definedName name="_xlnm.Print_Area" localSheetId="1">'Zutaten Teil1 ingredients'!$A$2:$E$135</definedName>
    <definedName name="_xlnm.Print_Titles" localSheetId="2">' Zutaten Teil2 ohne BRC IFS'!$2:$2</definedName>
    <definedName name="_xlnm.Print_Titles" localSheetId="3">'Verpackungen Teil1 packaging'!$2:$2</definedName>
    <definedName name="_xlnm.Print_Titles" localSheetId="4">'Verpackungen Teil2 ohne_BRC'!$2:$2</definedName>
    <definedName name="_xlnm.Print_Titles" localSheetId="1">'Zutaten Teil1 ingredients'!$2:$2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10" l="1"/>
  <c r="H53" i="10"/>
  <c r="H68" i="6"/>
  <c r="H67" i="10"/>
  <c r="H61" i="10"/>
  <c r="H56" i="10"/>
  <c r="H57" i="10"/>
  <c r="H50" i="10"/>
  <c r="H41" i="10"/>
  <c r="H42" i="10"/>
  <c r="H43" i="10"/>
  <c r="H36" i="10"/>
  <c r="H37" i="10"/>
  <c r="H38" i="10"/>
  <c r="H39" i="10"/>
  <c r="H28" i="10"/>
  <c r="H29" i="10"/>
  <c r="H30" i="10"/>
  <c r="H31" i="10"/>
  <c r="H61" i="6"/>
  <c r="H57" i="6"/>
  <c r="H58" i="6"/>
  <c r="H50" i="6"/>
  <c r="H41" i="6"/>
  <c r="H42" i="6"/>
  <c r="H43" i="6"/>
  <c r="H36" i="6"/>
  <c r="H37" i="6"/>
  <c r="H38" i="6"/>
  <c r="H39" i="6"/>
  <c r="H28" i="6"/>
  <c r="H29" i="6"/>
  <c r="H30" i="6"/>
  <c r="H31" i="6"/>
  <c r="H40" i="10" l="1"/>
  <c r="H35" i="10"/>
  <c r="H34" i="10"/>
  <c r="H33" i="10"/>
  <c r="H32" i="10"/>
  <c r="H27" i="10"/>
  <c r="H26" i="10"/>
  <c r="H44" i="10" s="1"/>
  <c r="F89" i="11" l="1"/>
  <c r="H88" i="11"/>
  <c r="G88" i="11"/>
  <c r="H87" i="11"/>
  <c r="G87" i="11"/>
  <c r="H86" i="11"/>
  <c r="H89" i="11" s="1"/>
  <c r="G86" i="11"/>
  <c r="H84" i="11"/>
  <c r="H85" i="11" s="1"/>
  <c r="G84" i="11"/>
  <c r="H82" i="11"/>
  <c r="G82" i="11"/>
  <c r="H81" i="11"/>
  <c r="G81" i="11"/>
  <c r="H80" i="11"/>
  <c r="G80" i="11"/>
  <c r="H79" i="11"/>
  <c r="H83" i="11" s="1"/>
  <c r="G79" i="11"/>
  <c r="H77" i="11"/>
  <c r="G77" i="11"/>
  <c r="H76" i="11"/>
  <c r="G76" i="11"/>
  <c r="H75" i="11"/>
  <c r="G75" i="11"/>
  <c r="H74" i="11"/>
  <c r="H78" i="11" s="1"/>
  <c r="G74" i="11"/>
  <c r="H72" i="11"/>
  <c r="G72" i="11"/>
  <c r="H71" i="11"/>
  <c r="H73" i="11" s="1"/>
  <c r="G71" i="11"/>
  <c r="H69" i="11"/>
  <c r="H70" i="11" s="1"/>
  <c r="G69" i="11"/>
  <c r="H67" i="11"/>
  <c r="G67" i="11"/>
  <c r="H66" i="11"/>
  <c r="H68" i="11" s="1"/>
  <c r="G66" i="11"/>
  <c r="H64" i="11"/>
  <c r="G64" i="11"/>
  <c r="H63" i="11"/>
  <c r="H65" i="11" s="1"/>
  <c r="G63" i="11"/>
  <c r="H61" i="11"/>
  <c r="G61" i="11"/>
  <c r="H60" i="11"/>
  <c r="G60" i="11"/>
  <c r="H59" i="11"/>
  <c r="G59" i="11"/>
  <c r="H58" i="11"/>
  <c r="G58" i="11"/>
  <c r="H57" i="11"/>
  <c r="H62" i="11" s="1"/>
  <c r="G57" i="11"/>
  <c r="H55" i="11"/>
  <c r="G55" i="11"/>
  <c r="H54" i="11"/>
  <c r="H56" i="11" s="1"/>
  <c r="G54" i="11"/>
  <c r="H52" i="11"/>
  <c r="G52" i="11"/>
  <c r="H51" i="11"/>
  <c r="G51" i="11"/>
  <c r="H50" i="11"/>
  <c r="G50" i="11"/>
  <c r="H49" i="11"/>
  <c r="G49" i="11"/>
  <c r="H48" i="11"/>
  <c r="H53" i="11" s="1"/>
  <c r="G48" i="11"/>
  <c r="H46" i="11"/>
  <c r="G46" i="11"/>
  <c r="H45" i="11"/>
  <c r="G45" i="11"/>
  <c r="H44" i="11"/>
  <c r="G44" i="11"/>
  <c r="H43" i="11"/>
  <c r="G43" i="11"/>
  <c r="H42" i="11"/>
  <c r="H47" i="11" s="1"/>
  <c r="G42" i="11"/>
  <c r="H40" i="11"/>
  <c r="G40" i="11"/>
  <c r="H39" i="11"/>
  <c r="G39" i="11"/>
  <c r="H38" i="11"/>
  <c r="H41" i="11" s="1"/>
  <c r="G38" i="11"/>
  <c r="H36" i="11"/>
  <c r="H37" i="11" s="1"/>
  <c r="G36" i="11"/>
  <c r="H34" i="11"/>
  <c r="G34" i="11"/>
  <c r="H33" i="11"/>
  <c r="G33" i="11"/>
  <c r="H32" i="11"/>
  <c r="G32" i="11"/>
  <c r="H31" i="11"/>
  <c r="G31" i="11"/>
  <c r="H30" i="11"/>
  <c r="G30" i="11"/>
  <c r="H29" i="11"/>
  <c r="H35" i="11" s="1"/>
  <c r="G29" i="11"/>
  <c r="H27" i="11"/>
  <c r="H28" i="11" s="1"/>
  <c r="G27" i="11"/>
  <c r="H25" i="11"/>
  <c r="G25" i="11"/>
  <c r="H24" i="11"/>
  <c r="G24" i="11"/>
  <c r="H23" i="11"/>
  <c r="H26" i="11" s="1"/>
  <c r="G23" i="11"/>
  <c r="H21" i="11"/>
  <c r="G21" i="11"/>
  <c r="H20" i="11"/>
  <c r="G20" i="11"/>
  <c r="H19" i="11"/>
  <c r="H22" i="11" s="1"/>
  <c r="G19" i="11"/>
  <c r="H17" i="11"/>
  <c r="G17" i="11"/>
  <c r="H16" i="11"/>
  <c r="H18" i="11" s="1"/>
  <c r="G16" i="11"/>
  <c r="H14" i="11"/>
  <c r="G14" i="11"/>
  <c r="H13" i="11"/>
  <c r="G13" i="11"/>
  <c r="H12" i="11"/>
  <c r="H15" i="11" s="1"/>
  <c r="G12" i="11"/>
  <c r="H10" i="11"/>
  <c r="G10" i="11"/>
  <c r="H9" i="11"/>
  <c r="G9" i="11"/>
  <c r="H8" i="11"/>
  <c r="H11" i="11" s="1"/>
  <c r="G8" i="11"/>
  <c r="H6" i="11"/>
  <c r="G6" i="11"/>
  <c r="H5" i="11"/>
  <c r="G5" i="11"/>
  <c r="H4" i="11"/>
  <c r="H7" i="11" s="1"/>
  <c r="A91" i="11" s="1"/>
  <c r="G4" i="11"/>
  <c r="G89" i="11" s="1"/>
  <c r="A129" i="10"/>
  <c r="H128" i="10"/>
  <c r="H127" i="10"/>
  <c r="H129" i="10" s="1"/>
  <c r="F126" i="10"/>
  <c r="H125" i="10"/>
  <c r="H124" i="10"/>
  <c r="H123" i="10"/>
  <c r="H126" i="10" s="1"/>
  <c r="H121" i="10"/>
  <c r="G121" i="10"/>
  <c r="H120" i="10"/>
  <c r="G120" i="10"/>
  <c r="H119" i="10"/>
  <c r="G119" i="10"/>
  <c r="H118" i="10"/>
  <c r="G118" i="10"/>
  <c r="H117" i="10"/>
  <c r="G117" i="10"/>
  <c r="H116" i="10"/>
  <c r="G116" i="10"/>
  <c r="H115" i="10"/>
  <c r="H122" i="10" s="1"/>
  <c r="G115" i="10"/>
  <c r="H113" i="10"/>
  <c r="G113" i="10"/>
  <c r="H112" i="10"/>
  <c r="G112" i="10"/>
  <c r="H111" i="10"/>
  <c r="G111" i="10"/>
  <c r="H110" i="10"/>
  <c r="G110" i="10"/>
  <c r="H108" i="10"/>
  <c r="H107" i="10"/>
  <c r="H106" i="10"/>
  <c r="H104" i="10"/>
  <c r="G104" i="10"/>
  <c r="H103" i="10"/>
  <c r="H102" i="10"/>
  <c r="G102" i="10"/>
  <c r="H100" i="10"/>
  <c r="G100" i="10"/>
  <c r="H99" i="10"/>
  <c r="G99" i="10"/>
  <c r="H98" i="10"/>
  <c r="G98" i="10"/>
  <c r="H97" i="10"/>
  <c r="G97" i="10"/>
  <c r="H96" i="10"/>
  <c r="G96" i="10"/>
  <c r="H95" i="10"/>
  <c r="G95" i="10"/>
  <c r="H94" i="10"/>
  <c r="G94" i="10"/>
  <c r="H93" i="10"/>
  <c r="G93" i="10"/>
  <c r="H91" i="10"/>
  <c r="G91" i="10"/>
  <c r="H90" i="10"/>
  <c r="G90" i="10"/>
  <c r="H89" i="10"/>
  <c r="G89" i="10"/>
  <c r="H88" i="10"/>
  <c r="G88" i="10"/>
  <c r="H87" i="10"/>
  <c r="G87" i="10"/>
  <c r="H86" i="10"/>
  <c r="G86" i="10"/>
  <c r="H84" i="10"/>
  <c r="G84" i="10"/>
  <c r="H83" i="10"/>
  <c r="G83" i="10"/>
  <c r="H82" i="10"/>
  <c r="G82" i="10"/>
  <c r="H81" i="10"/>
  <c r="G81" i="10"/>
  <c r="H80" i="10"/>
  <c r="G80" i="10"/>
  <c r="H79" i="10"/>
  <c r="G79" i="10"/>
  <c r="H78" i="10"/>
  <c r="G78" i="10"/>
  <c r="H77" i="10"/>
  <c r="G77" i="10"/>
  <c r="H76" i="10"/>
  <c r="G76" i="10"/>
  <c r="H75" i="10"/>
  <c r="G75" i="10"/>
  <c r="H74" i="10"/>
  <c r="G74" i="10"/>
  <c r="H73" i="10"/>
  <c r="G73" i="10"/>
  <c r="H71" i="10"/>
  <c r="G71" i="10"/>
  <c r="H70" i="10"/>
  <c r="G70" i="10"/>
  <c r="H69" i="10"/>
  <c r="G69" i="10"/>
  <c r="H68" i="10"/>
  <c r="G68" i="10"/>
  <c r="H66" i="10"/>
  <c r="G66" i="10"/>
  <c r="H65" i="10"/>
  <c r="G65" i="10"/>
  <c r="H64" i="10"/>
  <c r="H72" i="10" s="1"/>
  <c r="G64" i="10"/>
  <c r="H62" i="10"/>
  <c r="G62" i="10"/>
  <c r="H60" i="10"/>
  <c r="G60" i="10"/>
  <c r="H59" i="10"/>
  <c r="G59" i="10"/>
  <c r="H58" i="10"/>
  <c r="G58" i="10"/>
  <c r="H55" i="10"/>
  <c r="G55" i="10"/>
  <c r="H54" i="10"/>
  <c r="H49" i="10"/>
  <c r="G49" i="10"/>
  <c r="H48" i="10"/>
  <c r="G48" i="10"/>
  <c r="H47" i="10"/>
  <c r="H46" i="10"/>
  <c r="H45" i="10"/>
  <c r="H51" i="10" s="1"/>
  <c r="H24" i="10"/>
  <c r="H23" i="10"/>
  <c r="H22" i="10"/>
  <c r="H21" i="10"/>
  <c r="H20" i="10"/>
  <c r="H19" i="10"/>
  <c r="H18" i="10"/>
  <c r="H16" i="10"/>
  <c r="H15" i="10"/>
  <c r="H14" i="10"/>
  <c r="H13" i="10"/>
  <c r="H12" i="10"/>
  <c r="H11" i="10"/>
  <c r="H10" i="10"/>
  <c r="H9" i="10"/>
  <c r="H8" i="10"/>
  <c r="H7" i="10"/>
  <c r="H6" i="10"/>
  <c r="H5" i="10"/>
  <c r="H92" i="10" l="1"/>
  <c r="H109" i="10"/>
  <c r="H17" i="10"/>
  <c r="H63" i="10"/>
  <c r="G126" i="10"/>
  <c r="G128" i="10" s="1"/>
  <c r="H25" i="10"/>
  <c r="H85" i="10"/>
  <c r="H114" i="10"/>
  <c r="H101" i="10"/>
  <c r="H105" i="10"/>
  <c r="A135" i="10" l="1"/>
  <c r="G94" i="6"/>
  <c r="H94" i="6"/>
  <c r="G103" i="6"/>
  <c r="H103" i="6"/>
  <c r="H91" i="7" l="1"/>
  <c r="H93" i="7"/>
  <c r="G93" i="7"/>
  <c r="H92" i="7"/>
  <c r="G92" i="7"/>
  <c r="G91" i="7"/>
  <c r="H94" i="7" l="1"/>
  <c r="H124" i="6"/>
  <c r="H123" i="6"/>
  <c r="H122" i="6"/>
  <c r="H121" i="6"/>
  <c r="H120" i="6"/>
  <c r="H119" i="6"/>
  <c r="H118" i="6"/>
  <c r="F94" i="7" l="1"/>
  <c r="H89" i="7"/>
  <c r="G89" i="7"/>
  <c r="H88" i="7"/>
  <c r="G88" i="7"/>
  <c r="H87" i="7"/>
  <c r="H90" i="7" s="1"/>
  <c r="G87" i="7"/>
  <c r="H85" i="7"/>
  <c r="H86" i="7" s="1"/>
  <c r="G85" i="7"/>
  <c r="H83" i="7"/>
  <c r="G83" i="7"/>
  <c r="H82" i="7"/>
  <c r="G82" i="7"/>
  <c r="H81" i="7"/>
  <c r="G81" i="7"/>
  <c r="H80" i="7"/>
  <c r="G80" i="7"/>
  <c r="H78" i="7"/>
  <c r="G78" i="7"/>
  <c r="H77" i="7"/>
  <c r="G77" i="7"/>
  <c r="H76" i="7"/>
  <c r="G76" i="7"/>
  <c r="H75" i="7"/>
  <c r="G75" i="7"/>
  <c r="H73" i="7"/>
  <c r="G73" i="7"/>
  <c r="H72" i="7"/>
  <c r="H74" i="7" s="1"/>
  <c r="G72" i="7"/>
  <c r="H70" i="7"/>
  <c r="H71" i="7" s="1"/>
  <c r="G70" i="7"/>
  <c r="H68" i="7"/>
  <c r="G68" i="7"/>
  <c r="H67" i="7"/>
  <c r="G67" i="7"/>
  <c r="H65" i="7"/>
  <c r="G65" i="7"/>
  <c r="H64" i="7"/>
  <c r="G64" i="7"/>
  <c r="H62" i="7"/>
  <c r="G62" i="7"/>
  <c r="H61" i="7"/>
  <c r="G61" i="7"/>
  <c r="H60" i="7"/>
  <c r="G60" i="7"/>
  <c r="H59" i="7"/>
  <c r="G59" i="7"/>
  <c r="H58" i="7"/>
  <c r="H63" i="7" s="1"/>
  <c r="G58" i="7"/>
  <c r="H56" i="7"/>
  <c r="G56" i="7"/>
  <c r="H55" i="7"/>
  <c r="G55" i="7"/>
  <c r="H53" i="7"/>
  <c r="G53" i="7"/>
  <c r="H52" i="7"/>
  <c r="G52" i="7"/>
  <c r="H51" i="7"/>
  <c r="G51" i="7"/>
  <c r="H50" i="7"/>
  <c r="G50" i="7"/>
  <c r="H49" i="7"/>
  <c r="H54" i="7" s="1"/>
  <c r="G49" i="7"/>
  <c r="H47" i="7"/>
  <c r="G47" i="7"/>
  <c r="H46" i="7"/>
  <c r="G46" i="7"/>
  <c r="H45" i="7"/>
  <c r="G45" i="7"/>
  <c r="H44" i="7"/>
  <c r="G44" i="7"/>
  <c r="H43" i="7"/>
  <c r="G43" i="7"/>
  <c r="H41" i="7"/>
  <c r="G41" i="7"/>
  <c r="H40" i="7"/>
  <c r="G40" i="7"/>
  <c r="H39" i="7"/>
  <c r="H42" i="7" s="1"/>
  <c r="G39" i="7"/>
  <c r="H37" i="7"/>
  <c r="H38" i="7" s="1"/>
  <c r="G37" i="7"/>
  <c r="H35" i="7"/>
  <c r="G35" i="7"/>
  <c r="H34" i="7"/>
  <c r="G34" i="7"/>
  <c r="H33" i="7"/>
  <c r="G33" i="7"/>
  <c r="H32" i="7"/>
  <c r="G32" i="7"/>
  <c r="H31" i="7"/>
  <c r="G31" i="7"/>
  <c r="H30" i="7"/>
  <c r="G30" i="7"/>
  <c r="H29" i="7"/>
  <c r="H36" i="7" s="1"/>
  <c r="G29" i="7"/>
  <c r="H27" i="7"/>
  <c r="H28" i="7" s="1"/>
  <c r="G27" i="7"/>
  <c r="H25" i="7"/>
  <c r="G25" i="7"/>
  <c r="H24" i="7"/>
  <c r="G24" i="7"/>
  <c r="H23" i="7"/>
  <c r="H26" i="7" s="1"/>
  <c r="G23" i="7"/>
  <c r="H21" i="7"/>
  <c r="G21" i="7"/>
  <c r="H20" i="7"/>
  <c r="G20" i="7"/>
  <c r="H19" i="7"/>
  <c r="G19" i="7"/>
  <c r="H17" i="7"/>
  <c r="G17" i="7"/>
  <c r="H16" i="7"/>
  <c r="G16" i="7"/>
  <c r="H14" i="7"/>
  <c r="G14" i="7"/>
  <c r="H13" i="7"/>
  <c r="G13" i="7"/>
  <c r="H12" i="7"/>
  <c r="H15" i="7" s="1"/>
  <c r="G12" i="7"/>
  <c r="H10" i="7"/>
  <c r="G10" i="7"/>
  <c r="H9" i="7"/>
  <c r="G9" i="7"/>
  <c r="H8" i="7"/>
  <c r="H11" i="7" s="1"/>
  <c r="G8" i="7"/>
  <c r="H6" i="7"/>
  <c r="G6" i="7"/>
  <c r="H5" i="7"/>
  <c r="G5" i="7"/>
  <c r="H4" i="7"/>
  <c r="H7" i="7" s="1"/>
  <c r="G4" i="7"/>
  <c r="A128" i="6"/>
  <c r="H127" i="6"/>
  <c r="H126" i="6"/>
  <c r="H125" i="6"/>
  <c r="F125" i="6"/>
  <c r="G124" i="6"/>
  <c r="G123" i="6"/>
  <c r="G122" i="6"/>
  <c r="G121" i="6"/>
  <c r="G120" i="6"/>
  <c r="G119" i="6"/>
  <c r="G118" i="6"/>
  <c r="H116" i="6"/>
  <c r="G116" i="6"/>
  <c r="H115" i="6"/>
  <c r="G115" i="6"/>
  <c r="H114" i="6"/>
  <c r="G114" i="6"/>
  <c r="H113" i="6"/>
  <c r="G113" i="6"/>
  <c r="H111" i="6"/>
  <c r="H110" i="6"/>
  <c r="H109" i="6"/>
  <c r="H107" i="6"/>
  <c r="G107" i="6"/>
  <c r="H106" i="6"/>
  <c r="H105" i="6"/>
  <c r="G105" i="6"/>
  <c r="H102" i="6"/>
  <c r="G102" i="6"/>
  <c r="H101" i="6"/>
  <c r="G101" i="6"/>
  <c r="H100" i="6"/>
  <c r="G100" i="6"/>
  <c r="H99" i="6"/>
  <c r="G99" i="6"/>
  <c r="H98" i="6"/>
  <c r="G98" i="6"/>
  <c r="H97" i="6"/>
  <c r="G97" i="6"/>
  <c r="H96" i="6"/>
  <c r="G96" i="6"/>
  <c r="H93" i="6"/>
  <c r="G93" i="6"/>
  <c r="H92" i="6"/>
  <c r="G92" i="6"/>
  <c r="H91" i="6"/>
  <c r="G91" i="6"/>
  <c r="H90" i="6"/>
  <c r="G90" i="6"/>
  <c r="H89" i="6"/>
  <c r="G89" i="6"/>
  <c r="H88" i="6"/>
  <c r="G88" i="6"/>
  <c r="H87" i="6"/>
  <c r="H95" i="6" s="1"/>
  <c r="G87" i="6"/>
  <c r="H85" i="6"/>
  <c r="G85" i="6"/>
  <c r="H84" i="6"/>
  <c r="G84" i="6"/>
  <c r="H83" i="6"/>
  <c r="G83" i="6"/>
  <c r="H82" i="6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2" i="6"/>
  <c r="G72" i="6"/>
  <c r="H71" i="6"/>
  <c r="G71" i="6"/>
  <c r="H70" i="6"/>
  <c r="G70" i="6"/>
  <c r="H69" i="6"/>
  <c r="G69" i="6"/>
  <c r="H67" i="6"/>
  <c r="G67" i="6"/>
  <c r="H66" i="6"/>
  <c r="G66" i="6"/>
  <c r="H65" i="6"/>
  <c r="G65" i="6"/>
  <c r="H63" i="6"/>
  <c r="G63" i="6"/>
  <c r="H62" i="6"/>
  <c r="G62" i="6"/>
  <c r="H60" i="6"/>
  <c r="G60" i="6"/>
  <c r="H59" i="6"/>
  <c r="G59" i="6"/>
  <c r="H56" i="6"/>
  <c r="G56" i="6"/>
  <c r="H55" i="6"/>
  <c r="H54" i="6"/>
  <c r="H53" i="6"/>
  <c r="G53" i="6"/>
  <c r="H49" i="6"/>
  <c r="G49" i="6"/>
  <c r="H48" i="6"/>
  <c r="G48" i="6"/>
  <c r="H47" i="6"/>
  <c r="H46" i="6"/>
  <c r="H45" i="6"/>
  <c r="H51" i="6" s="1"/>
  <c r="H40" i="6"/>
  <c r="H35" i="6"/>
  <c r="H34" i="6"/>
  <c r="H33" i="6"/>
  <c r="H32" i="6"/>
  <c r="H27" i="6"/>
  <c r="H26" i="6"/>
  <c r="H24" i="6"/>
  <c r="H23" i="6"/>
  <c r="H22" i="6"/>
  <c r="H21" i="6"/>
  <c r="H20" i="6"/>
  <c r="H19" i="6"/>
  <c r="H18" i="6"/>
  <c r="H16" i="6"/>
  <c r="H15" i="6"/>
  <c r="H14" i="6"/>
  <c r="H13" i="6"/>
  <c r="H12" i="6"/>
  <c r="H11" i="6"/>
  <c r="H10" i="6"/>
  <c r="H9" i="6"/>
  <c r="H8" i="6"/>
  <c r="H7" i="6"/>
  <c r="H6" i="6"/>
  <c r="H5" i="6"/>
  <c r="A91" i="5"/>
  <c r="H69" i="7" l="1"/>
  <c r="H84" i="7"/>
  <c r="H25" i="6"/>
  <c r="H112" i="6"/>
  <c r="H117" i="6"/>
  <c r="H128" i="6"/>
  <c r="H73" i="6"/>
  <c r="H64" i="6"/>
  <c r="H86" i="6"/>
  <c r="H108" i="6"/>
  <c r="H44" i="6"/>
  <c r="G125" i="6"/>
  <c r="H104" i="6"/>
  <c r="H48" i="7"/>
  <c r="H66" i="7"/>
  <c r="H79" i="7"/>
  <c r="H22" i="7"/>
  <c r="H57" i="7"/>
  <c r="H17" i="6"/>
  <c r="A134" i="6" s="1"/>
  <c r="G94" i="7"/>
  <c r="H18" i="7"/>
  <c r="A96" i="7" s="1"/>
  <c r="G127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Guenther, Silke</author>
  </authors>
  <commentList>
    <comment ref="F3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Guenther, Silke:</t>
        </r>
        <r>
          <rPr>
            <sz val="9"/>
            <color indexed="81"/>
            <rFont val="Segoe UI"/>
            <family val="2"/>
          </rPr>
          <t xml:space="preserve">
Farbcodes der Spalten F-H zur Prüfung der Lieferantenantworten 
grün: nur prüfen, ob Kommentar-Feld ausgefüllt wurde bzw. "ja" oder "nein" angekreuzt wurden
gelb: prüfen, ob  "ja" oder "nein"gekreuzt wurde und Prüfung auf Logik / Sinnhaftigkeit
d.h. 
-je nach Antwort, ob "ja" oder "nein" ist das Folge-Feld/ der folgende Punkt auszufüllen oder nicht 
-Antworten des Lieferanten zu den Punkten 3.7 bis 3.9 dürfen sich nicht widersprechen bzw. mehr als 100% ergeben
-Punkt 4.6 und 5.5 sollten inhaltlich übereinstimmen, dann ok
-bei Punkt 5.6 ist nur ein "ja" akzeptabel
-von den Punkten 7.9 bis 7.12 sollte wenigstens einer mit "ja" beantwortet werden
orange: Prüfung auf "Inhalt eingetragen" und stimmen Punkt 4.6 und 5.5 nicht überein, dann Rücksprache mit Mitarbeiter QM Systems &amp; Food safety - QM Audit
blau:  Prüfung auf "Inhalt eingetragen"   bzw. "ja" oder "nein" angekreuzt wurden
und auf Logik / Sinnhaftigkeit der Antwort, bei Fragen: Rücksprache mit dem jeweils zuständigen Mitarbeiter Corporate Procurement Ingredients oder Packaging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Guenther, Silke</author>
  </authors>
  <commentList>
    <comment ref="F3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>Guenther, Silke:</t>
        </r>
        <r>
          <rPr>
            <sz val="9"/>
            <color indexed="81"/>
            <rFont val="Segoe UI"/>
            <family val="2"/>
          </rPr>
          <t xml:space="preserve">
Farbcodes der Spalten F-H zur Prüfung der Lieferantenantworten 
grün: nur prüfen, ob Kommentar-Feld ausgefüllt wurde bzw. "ja" oder "nein" angekreuzt wurden
gelb: prüfen, ob  "ja" oder "nein"gekreuzt wurde und Prüfung auf Logik / Sinnhaftigkeit
d.h. 
-je nach Antwort, ob "ja" oder "nein" ist das Folge-Feld/ der folgende Punkt auszufüllen oder nicht 
-Antworten des Lieferanten zu den Punkten 3.7 bis 3.9 dürfen sich nicht widersprechen bzw. mehr als 100% ergeben
-Punkt 4.6 und 5.4 sollten inhaltlich übereinstimmen, dann ok
-bei Punkt 5.5 ist nur ein "ja" akzeptabel
orange: Prüfung auf "Inhalt eingetragen" und stimmen Punkt 4.6 und 5.4 nicht überein, dann Rücksprache mit Mitarbeiter QM Systems &amp; Food safety - QM Audit
blau:  Prüfung auf "Inhalt eingetragen"   bzw. "ja" oder "nein" angekreuzt wurden
und auf Logik / Sinnhaftigkeit der Antwort, bei Fragen: Rücksprache mit dem jeweils zuständigen Mitarbeiter Corporate Procurement Ingredients oder Packaging</t>
        </r>
      </text>
    </comment>
  </commentList>
</comments>
</file>

<file path=xl/sharedStrings.xml><?xml version="1.0" encoding="utf-8"?>
<sst xmlns="http://schemas.openxmlformats.org/spreadsheetml/2006/main" count="1030" uniqueCount="424">
  <si>
    <t>Rohstoffe / Zutaten / Zusatzstoffe</t>
  </si>
  <si>
    <t xml:space="preserve">Verpackungen </t>
  </si>
  <si>
    <r>
      <rPr>
        <b/>
        <sz val="10"/>
        <rFont val="Arial"/>
        <family val="2"/>
      </rPr>
      <t xml:space="preserve">
Manufacturer and supplier Self Assessment Questionnaire direct materials
</t>
    </r>
    <r>
      <rPr>
        <b/>
        <sz val="14"/>
        <rFont val="Arial"/>
        <family val="2"/>
      </rPr>
      <t xml:space="preserve">             </t>
    </r>
  </si>
  <si>
    <t>X</t>
  </si>
  <si>
    <t>Nr.</t>
  </si>
  <si>
    <r>
      <rPr>
        <sz val="9"/>
        <rFont val="Arial"/>
        <family val="2"/>
      </rPr>
      <t>direkte Materialien = (Roh- und Zusatzstoffe, Primär-, Sekundär-, Tertiärverpackungsmaterialien und Bedarfsgegenstände)</t>
    </r>
    <r>
      <rPr>
        <sz val="8"/>
        <rFont val="Arial"/>
        <family val="2"/>
      </rPr>
      <t xml:space="preserve">     
direct materials = (row materials, additives, primary-, secondary-, tertiary packaging and food contact materials)</t>
    </r>
    <r>
      <rPr>
        <sz val="9"/>
        <rFont val="Arial"/>
        <family val="2"/>
      </rPr>
      <t/>
    </r>
  </si>
  <si>
    <t>Prüf-summe</t>
  </si>
  <si>
    <r>
      <rPr>
        <b/>
        <sz val="12"/>
        <rFont val="Arial"/>
        <family val="2"/>
      </rPr>
      <t>Unternehmensdaten</t>
    </r>
    <r>
      <rPr>
        <b/>
        <sz val="10"/>
        <rFont val="Arial"/>
        <family val="2"/>
      </rPr>
      <t xml:space="preserve"> / Company data</t>
    </r>
  </si>
  <si>
    <t>Kommentar/ Opinion</t>
  </si>
  <si>
    <t>1.1</t>
  </si>
  <si>
    <t>1.2</t>
  </si>
  <si>
    <t>1.3</t>
  </si>
  <si>
    <t>1.4</t>
  </si>
  <si>
    <r>
      <t xml:space="preserve">Homepage / </t>
    </r>
    <r>
      <rPr>
        <sz val="8"/>
        <rFont val="Arial"/>
        <family val="2"/>
      </rPr>
      <t>Homepage:</t>
    </r>
  </si>
  <si>
    <t>1.5</t>
  </si>
  <si>
    <t>1.6</t>
  </si>
  <si>
    <r>
      <t xml:space="preserve">Geschäftsform (AG, KG usw.)                                
</t>
    </r>
    <r>
      <rPr>
        <sz val="8"/>
        <rFont val="Arial"/>
        <family val="2"/>
      </rPr>
      <t>Legal form (public limited company, limited partnership etc.):</t>
    </r>
  </si>
  <si>
    <t>1.7</t>
  </si>
  <si>
    <r>
      <t xml:space="preserve">Zahl der Mitarbeiter gesamt
</t>
    </r>
    <r>
      <rPr>
        <sz val="8"/>
        <rFont val="Arial"/>
        <family val="2"/>
      </rPr>
      <t>Total number of employees:</t>
    </r>
  </si>
  <si>
    <t>1.8</t>
  </si>
  <si>
    <r>
      <t xml:space="preserve">Zahl der Mitarbeiter QM/ QS
</t>
    </r>
    <r>
      <rPr>
        <sz val="8"/>
        <rFont val="Arial"/>
        <family val="2"/>
      </rPr>
      <t>Number of employees QM/ QA:</t>
    </r>
  </si>
  <si>
    <t>1.9</t>
  </si>
  <si>
    <r>
      <t xml:space="preserve">Zahl der Mitarbeiter F &amp; E
</t>
    </r>
    <r>
      <rPr>
        <sz val="8"/>
        <rFont val="Arial"/>
        <family val="2"/>
      </rPr>
      <t>Number of employees R &amp; D:</t>
    </r>
  </si>
  <si>
    <t>1.10</t>
  </si>
  <si>
    <r>
      <t xml:space="preserve">Zahl der Mitarbeiter Produktion
</t>
    </r>
    <r>
      <rPr>
        <sz val="8"/>
        <rFont val="Arial"/>
        <family val="2"/>
      </rPr>
      <t>Number of employees production:</t>
    </r>
  </si>
  <si>
    <t>1.11</t>
  </si>
  <si>
    <r>
      <t xml:space="preserve">Jahresumsatz
</t>
    </r>
    <r>
      <rPr>
        <sz val="8"/>
        <rFont val="Arial"/>
        <family val="2"/>
      </rPr>
      <t>Annual turnover:</t>
    </r>
  </si>
  <si>
    <t>1.12</t>
  </si>
  <si>
    <r>
      <t xml:space="preserve">Name der Versicherung
</t>
    </r>
    <r>
      <rPr>
        <sz val="8"/>
        <rFont val="Arial"/>
        <family val="2"/>
      </rPr>
      <t>Name of insurance:</t>
    </r>
  </si>
  <si>
    <r>
      <rPr>
        <b/>
        <sz val="12"/>
        <rFont val="Arial"/>
        <family val="2"/>
      </rPr>
      <t>Ansprechpartner</t>
    </r>
    <r>
      <rPr>
        <b/>
        <sz val="10"/>
        <rFont val="Arial"/>
        <family val="2"/>
      </rPr>
      <t xml:space="preserve"> / Contact</t>
    </r>
  </si>
  <si>
    <t>2.1</t>
  </si>
  <si>
    <r>
      <t xml:space="preserve">Geschäftsleitung </t>
    </r>
    <r>
      <rPr>
        <sz val="9"/>
        <rFont val="Arial"/>
        <family val="2"/>
      </rPr>
      <t>(Name, Tel. Fax. E-mail)</t>
    </r>
    <r>
      <rPr>
        <sz val="10"/>
        <rFont val="Arial"/>
        <family val="2"/>
      </rPr>
      <t xml:space="preserve">: 
</t>
    </r>
    <r>
      <rPr>
        <sz val="8"/>
        <rFont val="Arial"/>
        <family val="2"/>
      </rPr>
      <t>Management (name, telephone, fax, e-mail):</t>
    </r>
  </si>
  <si>
    <t>2.2</t>
  </si>
  <si>
    <r>
      <t>Vertrieb</t>
    </r>
    <r>
      <rPr>
        <sz val="9"/>
        <rFont val="Arial"/>
        <family val="2"/>
      </rPr>
      <t>(Name, Tel. Fax. E-mail)</t>
    </r>
    <r>
      <rPr>
        <sz val="10"/>
        <rFont val="Arial"/>
        <family val="2"/>
      </rPr>
      <t xml:space="preserve">:                         
</t>
    </r>
    <r>
      <rPr>
        <sz val="8"/>
        <rFont val="Arial"/>
        <family val="2"/>
      </rPr>
      <t>Sales (name, telephone, fax, e-mail):</t>
    </r>
  </si>
  <si>
    <t>2.3</t>
  </si>
  <si>
    <r>
      <t xml:space="preserve">Qualitätsmanagement </t>
    </r>
    <r>
      <rPr>
        <sz val="9"/>
        <rFont val="Arial"/>
        <family val="2"/>
      </rPr>
      <t>(Name, Tel. Fax. E-mail)</t>
    </r>
    <r>
      <rPr>
        <sz val="10"/>
        <rFont val="Arial"/>
        <family val="2"/>
      </rPr>
      <t xml:space="preserve">:                                                                      
</t>
    </r>
    <r>
      <rPr>
        <sz val="8"/>
        <rFont val="Arial"/>
        <family val="2"/>
      </rPr>
      <t>Quality Management (name, telephone, fax, e-mail):</t>
    </r>
  </si>
  <si>
    <t>2.4</t>
  </si>
  <si>
    <r>
      <t xml:space="preserve">Qualitätssicherung </t>
    </r>
    <r>
      <rPr>
        <sz val="9"/>
        <rFont val="Arial"/>
        <family val="2"/>
      </rPr>
      <t>(Name, Tel. Fax. E-mail)</t>
    </r>
    <r>
      <rPr>
        <sz val="10"/>
        <rFont val="Arial"/>
        <family val="2"/>
      </rPr>
      <t xml:space="preserve">:            
</t>
    </r>
    <r>
      <rPr>
        <sz val="8"/>
        <rFont val="Arial"/>
        <family val="2"/>
      </rPr>
      <t>Quality Assurance (name, telephone, fax, e-mail):</t>
    </r>
  </si>
  <si>
    <t>2.5</t>
  </si>
  <si>
    <r>
      <t xml:space="preserve">Forschung u. Entwicklung </t>
    </r>
    <r>
      <rPr>
        <sz val="9"/>
        <rFont val="Arial"/>
        <family val="2"/>
      </rPr>
      <t>(Name, Tel,Fax. E-Mail)</t>
    </r>
    <r>
      <rPr>
        <sz val="10"/>
        <rFont val="Arial"/>
        <family val="2"/>
      </rPr>
      <t xml:space="preserve">:                                                                         
</t>
    </r>
    <r>
      <rPr>
        <sz val="8"/>
        <rFont val="Arial"/>
        <family val="2"/>
      </rPr>
      <t>R &amp; D (name, telephone, fax, e-mail):</t>
    </r>
  </si>
  <si>
    <t>2.6</t>
  </si>
  <si>
    <r>
      <t xml:space="preserve">Reklamationswesen </t>
    </r>
    <r>
      <rPr>
        <sz val="9"/>
        <rFont val="Arial"/>
        <family val="2"/>
      </rPr>
      <t>(Name, Tel. Fax. E-mail)</t>
    </r>
    <r>
      <rPr>
        <sz val="10"/>
        <rFont val="Arial"/>
        <family val="2"/>
      </rPr>
      <t xml:space="preserve">:
</t>
    </r>
    <r>
      <rPr>
        <sz val="8"/>
        <rFont val="Arial"/>
        <family val="2"/>
      </rPr>
      <t>Complaints department (name, telephone, fax, e-mail):</t>
    </r>
  </si>
  <si>
    <t>2.7</t>
  </si>
  <si>
    <r>
      <rPr>
        <b/>
        <sz val="12"/>
        <rFont val="Arial"/>
        <family val="2"/>
      </rPr>
      <t>Unternehmensangaben</t>
    </r>
    <r>
      <rPr>
        <b/>
        <sz val="10"/>
        <rFont val="Arial"/>
        <family val="2"/>
      </rPr>
      <t xml:space="preserve"> / Company information</t>
    </r>
  </si>
  <si>
    <t>3.1</t>
  </si>
  <si>
    <t>3.2</t>
  </si>
  <si>
    <t>3.3</t>
  </si>
  <si>
    <t>3.4</t>
  </si>
  <si>
    <r>
      <t xml:space="preserve">Eigenfertigung (Anteil%)
</t>
    </r>
    <r>
      <rPr>
        <sz val="8"/>
        <rFont val="Arial"/>
        <family val="2"/>
      </rPr>
      <t>own production (percentage)</t>
    </r>
    <r>
      <rPr>
        <sz val="10"/>
        <rFont val="Arial"/>
        <family val="2"/>
      </rPr>
      <t>:</t>
    </r>
  </si>
  <si>
    <t>3.5</t>
  </si>
  <si>
    <r>
      <t xml:space="preserve">Auftragsfertigung/Subunternehmer (Anteil %)
</t>
    </r>
    <r>
      <rPr>
        <sz val="8"/>
        <rFont val="Arial"/>
        <family val="2"/>
      </rPr>
      <t>subcontractors (percentage)</t>
    </r>
    <r>
      <rPr>
        <sz val="10"/>
        <rFont val="Arial"/>
        <family val="2"/>
      </rPr>
      <t>:</t>
    </r>
  </si>
  <si>
    <t>3.6</t>
  </si>
  <si>
    <r>
      <t xml:space="preserve">Fremdbezug (Anteil in %)
</t>
    </r>
    <r>
      <rPr>
        <sz val="8"/>
        <rFont val="Arial"/>
        <family val="2"/>
      </rPr>
      <t>external porcurment (percentage)</t>
    </r>
    <r>
      <rPr>
        <sz val="10"/>
        <rFont val="Arial"/>
        <family val="2"/>
      </rPr>
      <t>:</t>
    </r>
  </si>
  <si>
    <t>3.7</t>
  </si>
  <si>
    <r>
      <t xml:space="preserve">Niedriglohnländern (Anteil in %)
</t>
    </r>
    <r>
      <rPr>
        <sz val="8"/>
        <rFont val="Arial"/>
        <family val="2"/>
      </rPr>
      <t>low-wage countiers (percentage):</t>
    </r>
  </si>
  <si>
    <t>3.8</t>
  </si>
  <si>
    <t>3.9</t>
  </si>
  <si>
    <t>3.10</t>
  </si>
  <si>
    <r>
      <rPr>
        <b/>
        <sz val="12"/>
        <rFont val="Arial"/>
        <family val="2"/>
      </rPr>
      <t xml:space="preserve">Informationen zu Produkten und Dienstleistungen </t>
    </r>
    <r>
      <rPr>
        <b/>
        <sz val="10"/>
        <rFont val="Arial"/>
        <family val="2"/>
      </rPr>
      <t>/ Informations to products and services</t>
    </r>
  </si>
  <si>
    <t>4.1</t>
  </si>
  <si>
    <r>
      <t xml:space="preserve">Wie sind die Produktionskapazitäten an dem/n Standort/en?
</t>
    </r>
    <r>
      <rPr>
        <sz val="8"/>
        <rFont val="Arial"/>
        <family val="2"/>
      </rPr>
      <t>How are the production capacities of the location?</t>
    </r>
  </si>
  <si>
    <t>4.2</t>
  </si>
  <si>
    <r>
      <t xml:space="preserve">Welche Produktionstechnologien werden angewendet (z.B. Druckverfahren)?
</t>
    </r>
    <r>
      <rPr>
        <sz val="8"/>
        <rFont val="Arial"/>
        <family val="2"/>
      </rPr>
      <t>Which production technologies are used (eg printing)?</t>
    </r>
  </si>
  <si>
    <t>4.3</t>
  </si>
  <si>
    <r>
      <t xml:space="preserve">Welche Lagerkapazitäten sind gegeben (standortabhängig)?
</t>
    </r>
    <r>
      <rPr>
        <sz val="8"/>
        <rFont val="Arial"/>
        <family val="2"/>
      </rPr>
      <t>What storage capacities are present (location dependent)?</t>
    </r>
  </si>
  <si>
    <t>max.
Punkte</t>
  </si>
  <si>
    <t>Punkte</t>
  </si>
  <si>
    <t>ja/yes</t>
  </si>
  <si>
    <t>nein/no</t>
  </si>
  <si>
    <t>4.4</t>
  </si>
  <si>
    <t>4.5</t>
  </si>
  <si>
    <r>
      <rPr>
        <b/>
        <sz val="12"/>
        <rFont val="Arial"/>
        <family val="2"/>
      </rPr>
      <t xml:space="preserve">QM &amp;  Zertifizierung/ </t>
    </r>
    <r>
      <rPr>
        <b/>
        <sz val="10"/>
        <rFont val="Arial"/>
        <family val="2"/>
      </rPr>
      <t xml:space="preserve">                               
Quality Management/ Certification</t>
    </r>
  </si>
  <si>
    <r>
      <t xml:space="preserve">Kommentar/ Opinion
</t>
    </r>
    <r>
      <rPr>
        <b/>
        <sz val="10"/>
        <rFont val="Arial"/>
        <family val="2"/>
      </rPr>
      <t>Ergebnis / result</t>
    </r>
  </si>
  <si>
    <t>5.1</t>
  </si>
  <si>
    <t>5.2</t>
  </si>
  <si>
    <t>5.3</t>
  </si>
  <si>
    <t>5.4</t>
  </si>
  <si>
    <t>5.6</t>
  </si>
  <si>
    <t>5.7</t>
  </si>
  <si>
    <t>5.8</t>
  </si>
  <si>
    <t>5.9</t>
  </si>
  <si>
    <r>
      <t xml:space="preserve">Sonstiges System (welches?) / Ergebnis
</t>
    </r>
    <r>
      <rPr>
        <sz val="8"/>
        <rFont val="Arial"/>
        <family val="2"/>
      </rPr>
      <t>Other System (which one?) / Result</t>
    </r>
  </si>
  <si>
    <t>HACCP</t>
  </si>
  <si>
    <t>6.1</t>
  </si>
  <si>
    <t>6.2</t>
  </si>
  <si>
    <r>
      <t xml:space="preserve">Ist ein HACCP-Konzept vorhanden?                       
</t>
    </r>
    <r>
      <rPr>
        <sz val="8"/>
        <rFont val="Arial"/>
        <family val="2"/>
      </rPr>
      <t>Is a HACCP Plan available?</t>
    </r>
  </si>
  <si>
    <t>6.3</t>
  </si>
  <si>
    <t>6.4</t>
  </si>
  <si>
    <r>
      <t xml:space="preserve">Sind Maßnahmen bei Abweichungen festgelegt?          
</t>
    </r>
    <r>
      <rPr>
        <sz val="8"/>
        <rFont val="Arial"/>
        <family val="2"/>
      </rPr>
      <t>Have measures been stipulated in case of deviations?</t>
    </r>
  </si>
  <si>
    <t>6.5</t>
  </si>
  <si>
    <r>
      <t xml:space="preserve">Sind Fließdiagramme vorhanden?
</t>
    </r>
    <r>
      <rPr>
        <sz val="8"/>
        <rFont val="Arial"/>
        <family val="2"/>
      </rPr>
      <t>Are flow charts available?</t>
    </r>
  </si>
  <si>
    <t>6.6</t>
  </si>
  <si>
    <r>
      <t xml:space="preserve">Wird das Konzept jährlich revidiert?                                            
</t>
    </r>
    <r>
      <rPr>
        <sz val="8"/>
        <rFont val="Arial"/>
        <family val="2"/>
      </rPr>
      <t>Is the plan annually revised?</t>
    </r>
  </si>
  <si>
    <t>6.7</t>
  </si>
  <si>
    <r>
      <t xml:space="preserve">Werden nachweislich alle Mitarbeiter regelmäßig zum HACCP geschult?                          
</t>
    </r>
    <r>
      <rPr>
        <sz val="8"/>
        <rFont val="Arial"/>
        <family val="2"/>
      </rPr>
      <t xml:space="preserve">Are all employees trained verifiable in HACCP?     </t>
    </r>
    <r>
      <rPr>
        <sz val="10"/>
        <rFont val="Arial"/>
        <family val="2"/>
      </rPr>
      <t xml:space="preserve">          </t>
    </r>
  </si>
  <si>
    <r>
      <rPr>
        <b/>
        <sz val="12"/>
        <rFont val="Arial"/>
        <family val="2"/>
      </rPr>
      <t>Fremdkörperkontrolle</t>
    </r>
    <r>
      <rPr>
        <b/>
        <sz val="10"/>
        <rFont val="Arial"/>
        <family val="2"/>
      </rPr>
      <t xml:space="preserve"> /                        
Foreign body check</t>
    </r>
  </si>
  <si>
    <t>7.1</t>
  </si>
  <si>
    <r>
      <t xml:space="preserve">Sind alle Beleuchtungskörper mit Splitterschutz versehen?
</t>
    </r>
    <r>
      <rPr>
        <sz val="8"/>
        <rFont val="Arial"/>
        <family val="2"/>
      </rPr>
      <t>Are all lighting fixtures provided with splinter protection?</t>
    </r>
  </si>
  <si>
    <t>7.2</t>
  </si>
  <si>
    <r>
      <t xml:space="preserve">Gibt es ein Glas- und Hartplastikregister?
</t>
    </r>
    <r>
      <rPr>
        <sz val="8"/>
        <rFont val="Arial"/>
        <family val="2"/>
      </rPr>
      <t>Is there a register for glass and duroplastic plastics?</t>
    </r>
  </si>
  <si>
    <t>7.3</t>
  </si>
  <si>
    <r>
      <t xml:space="preserve">Werden alle Glas- und Hartplastikflächen regelmäßig kontrolliert?
</t>
    </r>
    <r>
      <rPr>
        <sz val="8"/>
        <rFont val="Arial"/>
        <family val="2"/>
      </rPr>
      <t>Are all surfaces made of glass and duroplastic plastics checked regularly?</t>
    </r>
  </si>
  <si>
    <t>7.4</t>
  </si>
  <si>
    <r>
      <t xml:space="preserve">Sind Heftklammern untersagt (auch bei Verpackungen von Roh- und Zusatzstoffen, Bedarfsgegenständen und Verpackungsmaterial)?
</t>
    </r>
    <r>
      <rPr>
        <sz val="8"/>
        <rFont val="Arial"/>
        <family val="2"/>
      </rPr>
      <t>Are staples forbidden (also with packages of raw materials and additives, commodities and packaging material)?</t>
    </r>
  </si>
  <si>
    <t>7.5</t>
  </si>
  <si>
    <r>
      <t xml:space="preserve">Ist Holz im Produktionsbereich untersagt? 
</t>
    </r>
    <r>
      <rPr>
        <sz val="8"/>
        <rFont val="Arial"/>
        <family val="2"/>
      </rPr>
      <t>Is wood forbidden in production area?</t>
    </r>
  </si>
  <si>
    <t>7.6</t>
  </si>
  <si>
    <r>
      <t xml:space="preserve">Werden eingesetze Schneidwerkzeuge regelmäßig kontrolliert?
</t>
    </r>
    <r>
      <rPr>
        <sz val="8"/>
        <rFont val="Arial"/>
        <family val="2"/>
      </rPr>
      <t>Are applied cutting tools checked regularly?</t>
    </r>
  </si>
  <si>
    <t>7.7</t>
  </si>
  <si>
    <r>
      <t xml:space="preserve">Sind Cuttermesser mit Abbruchklingen untersagt?
</t>
    </r>
    <r>
      <rPr>
        <sz val="8"/>
        <rFont val="Arial"/>
        <family val="2"/>
      </rPr>
      <t>Are cutters with blades which can break off prohibited?</t>
    </r>
  </si>
  <si>
    <t>7.8</t>
  </si>
  <si>
    <r>
      <t xml:space="preserve">Sind Glasflaschen und andere Privatgegen-stände in der Produktion untersagt?
</t>
    </r>
    <r>
      <rPr>
        <sz val="8"/>
        <rFont val="Arial"/>
        <family val="2"/>
      </rPr>
      <t>Are glass bottles and other private objects prohibited in the production?</t>
    </r>
  </si>
  <si>
    <t>7.9</t>
  </si>
  <si>
    <r>
      <t xml:space="preserve">Gibt es Siebe und /oder Filter?
</t>
    </r>
    <r>
      <rPr>
        <sz val="8"/>
        <rFont val="Arial"/>
        <family val="2"/>
      </rPr>
      <t>Are there sieves and/ or filters?</t>
    </r>
  </si>
  <si>
    <t>7.10</t>
  </si>
  <si>
    <r>
      <t xml:space="preserve">Gibt es Ferromagneten? 
</t>
    </r>
    <r>
      <rPr>
        <sz val="8"/>
        <rFont val="Arial"/>
        <family val="2"/>
      </rPr>
      <t>Are there ferromagnets?</t>
    </r>
  </si>
  <si>
    <t>7.11</t>
  </si>
  <si>
    <r>
      <t xml:space="preserve">Gibt es Metalldetektoren?
</t>
    </r>
    <r>
      <rPr>
        <sz val="8"/>
        <rFont val="Arial"/>
        <family val="2"/>
      </rPr>
      <t>Are there metal detectors?</t>
    </r>
  </si>
  <si>
    <t>7.12</t>
  </si>
  <si>
    <r>
      <t xml:space="preserve">Gibt es Röntgendetektoren?
</t>
    </r>
    <r>
      <rPr>
        <sz val="8"/>
        <rFont val="Arial"/>
        <family val="2"/>
      </rPr>
      <t>Are there x-ray detectors?</t>
    </r>
  </si>
  <si>
    <r>
      <rPr>
        <b/>
        <sz val="12"/>
        <rFont val="Arial"/>
        <family val="2"/>
      </rPr>
      <t>Spezifikationen</t>
    </r>
    <r>
      <rPr>
        <b/>
        <sz val="10"/>
        <rFont val="Arial"/>
        <family val="2"/>
      </rPr>
      <t xml:space="preserve"> / 
Specifications</t>
    </r>
  </si>
  <si>
    <t>8.1</t>
  </si>
  <si>
    <r>
      <t xml:space="preserve">Liegen eindeutige und aktuelle Produktspezifikationen (wo zutreffend: +Konformitätserklärungen) für alle eingesetzten Rezepturbestandteile / Materialien vor?                                     
</t>
    </r>
    <r>
      <rPr>
        <sz val="8"/>
        <rFont val="Arial"/>
        <family val="2"/>
      </rPr>
      <t>Are clear and up-to-date product specifications  (if applicable  declaration of compliance)  available for all applied formula components / materials?</t>
    </r>
  </si>
  <si>
    <t>8.2</t>
  </si>
  <si>
    <r>
      <t xml:space="preserve">Liegen eindeutige Produktspezifikationen und Konformitätserklärungen für die eingesetzten produktberührenden Bedarfs- und Hilfsgegenstände (z.B. Anlagenteile, Verpackungen usw.) vor?
</t>
    </r>
    <r>
      <rPr>
        <sz val="8"/>
        <rFont val="Arial"/>
        <family val="2"/>
      </rPr>
      <t>Are clear product specifications  and declaration of compliance available for applied operating supplies which have contact with the products (for example plant parts, packaging, etc.)?</t>
    </r>
  </si>
  <si>
    <t>8.3</t>
  </si>
  <si>
    <t>8.4</t>
  </si>
  <si>
    <r>
      <t xml:space="preserve">Sind alle zutreffenden lebens- und verpackungsmittelrechtlichen Belange, insbesondere des Ziellandes des Kunden, berücksichtigt? 
</t>
    </r>
    <r>
      <rPr>
        <sz val="8"/>
        <rFont val="Arial"/>
        <family val="2"/>
      </rPr>
      <t>Have all relevant issues under food law and packaging means law, in particular the country of destination of the customer been taken into account?</t>
    </r>
  </si>
  <si>
    <t>8.5</t>
  </si>
  <si>
    <t>8.6</t>
  </si>
  <si>
    <r>
      <t xml:space="preserve">Liegen für alle Bedarfsgegenstände und / oder wo zutreffend Materialien / Stoffe Konformitätserklärungen vor?
</t>
    </r>
    <r>
      <rPr>
        <sz val="8"/>
        <rFont val="Arial"/>
        <family val="2"/>
      </rPr>
      <t>Do declarations of conformity exist for all commodities?</t>
    </r>
  </si>
  <si>
    <t>8.7</t>
  </si>
  <si>
    <r>
      <t xml:space="preserve">Werden regelmäßig Migrationstests durchgeführt? 
</t>
    </r>
    <r>
      <rPr>
        <sz val="8"/>
        <rFont val="Arial"/>
        <family val="2"/>
      </rPr>
      <t>Are migration tests carried out regularly?</t>
    </r>
  </si>
  <si>
    <r>
      <rPr>
        <b/>
        <sz val="12"/>
        <rFont val="Arial"/>
        <family val="2"/>
      </rPr>
      <t xml:space="preserve">Umweltschutz / Arbeitsschutz </t>
    </r>
    <r>
      <rPr>
        <b/>
        <sz val="10"/>
        <rFont val="Arial"/>
        <family val="2"/>
      </rPr>
      <t xml:space="preserve">
Environmental protection/ Health and safety protection at the workplace</t>
    </r>
  </si>
  <si>
    <t>9.1</t>
  </si>
  <si>
    <r>
      <t xml:space="preserve">Haben Sie einen Umweltbeauftragten benannt?     
</t>
    </r>
    <r>
      <rPr>
        <sz val="8"/>
        <rFont val="Arial"/>
        <family val="2"/>
      </rPr>
      <t>Have you appointed an environmental officer?</t>
    </r>
  </si>
  <si>
    <t>9.2</t>
  </si>
  <si>
    <r>
      <t xml:space="preserve">Haben Sie eine Umweltpolitik formuliert?              
</t>
    </r>
    <r>
      <rPr>
        <sz val="8"/>
        <rFont val="Arial"/>
        <family val="2"/>
      </rPr>
      <t>Do you have an environmental policy?</t>
    </r>
  </si>
  <si>
    <t>9.3</t>
  </si>
  <si>
    <t>9.4</t>
  </si>
  <si>
    <r>
      <t xml:space="preserve">Haben Sie einen Sicherheitsbeauftragten oder eine Sicherheitsfachkraft benannt?
</t>
    </r>
    <r>
      <rPr>
        <sz val="8"/>
        <rFont val="Arial"/>
        <family val="2"/>
      </rPr>
      <t>Have you appointed a security officer or a security specialist?</t>
    </r>
  </si>
  <si>
    <r>
      <t xml:space="preserve">Haben Sie Gefährdungsbeurteilungen gemäß Arbeitsschutzrecht, Betriebssicherheitsver-ordnung und Gefahrstoffverordnung durchgeführt?
</t>
    </r>
    <r>
      <rPr>
        <sz val="8"/>
        <rFont val="Arial"/>
        <family val="2"/>
      </rPr>
      <t>Have you carried out risk assessments according to labour protection law, regulations governing industrial safety and the regulations governing hazardous substances?</t>
    </r>
  </si>
  <si>
    <t>9.6</t>
  </si>
  <si>
    <r>
      <t xml:space="preserve">Unterweisen Sie Ihre Mitarbeiter regelmäßig im Hinblick auf den betrieblichen Umwelt- und Arbeitsschutz?
</t>
    </r>
    <r>
      <rPr>
        <sz val="8"/>
        <rFont val="Arial"/>
        <family val="2"/>
      </rPr>
      <t>Do you have a regularly instruction of your employees in terms of environmental and occupational health and safety?</t>
    </r>
  </si>
  <si>
    <t>9.7</t>
  </si>
  <si>
    <r>
      <t xml:space="preserve">Führen Sie regelmäßige Arbeitsschutz-oder Umweltschutzaudits durch?
</t>
    </r>
    <r>
      <rPr>
        <sz val="8"/>
        <rFont val="Arial"/>
        <family val="2"/>
      </rPr>
      <t>Do you carry out regular health and safety or environmental audits?</t>
    </r>
  </si>
  <si>
    <t>9.8</t>
  </si>
  <si>
    <r>
      <rPr>
        <b/>
        <sz val="12"/>
        <rFont val="Arial"/>
        <family val="2"/>
      </rPr>
      <t>Rückverfolgbarkeit</t>
    </r>
    <r>
      <rPr>
        <b/>
        <sz val="10"/>
        <rFont val="Arial"/>
        <family val="2"/>
      </rPr>
      <t xml:space="preserve"> / Tracibility</t>
    </r>
  </si>
  <si>
    <t>10.1</t>
  </si>
  <si>
    <t>10.2</t>
  </si>
  <si>
    <r>
      <t xml:space="preserve">Darstellung der Codierung zur Rückverfolgung (bitte geben Sie die genaue Aufschlüsselung sowie Ausdruckstelle der Codierung an):
</t>
    </r>
    <r>
      <rPr>
        <sz val="8"/>
        <rFont val="Arial"/>
        <family val="2"/>
      </rPr>
      <t>Representation of the code to trace (please give the exact breakdown and printing position from the coding):</t>
    </r>
  </si>
  <si>
    <t>10.3</t>
  </si>
  <si>
    <r>
      <t xml:space="preserve">Ist sichergestellt, dass der Kunde über ein Rückrufverfahren informiert wird?                         
</t>
    </r>
    <r>
      <rPr>
        <sz val="8"/>
        <rFont val="Arial"/>
        <family val="2"/>
      </rPr>
      <t>Is it ensured that the customer is informed about recall procedures?</t>
    </r>
  </si>
  <si>
    <r>
      <rPr>
        <b/>
        <sz val="12"/>
        <rFont val="Arial"/>
        <family val="2"/>
      </rPr>
      <t>Referenzen</t>
    </r>
    <r>
      <rPr>
        <b/>
        <sz val="10"/>
        <rFont val="Arial"/>
        <family val="2"/>
      </rPr>
      <t xml:space="preserve"> / References</t>
    </r>
  </si>
  <si>
    <t>11.1</t>
  </si>
  <si>
    <r>
      <t xml:space="preserve">Bisher wurde vorwiegend für folgende Industrien gearbeitet:
</t>
    </r>
    <r>
      <rPr>
        <sz val="8"/>
        <rFont val="Arial"/>
        <family val="2"/>
      </rPr>
      <t>So far been mainly worked for the following industries:</t>
    </r>
  </si>
  <si>
    <t>11.2</t>
  </si>
  <si>
    <r>
      <t xml:space="preserve">Allgemeine Referenzen (Unternehmen, Jahr):
</t>
    </r>
    <r>
      <rPr>
        <sz val="8"/>
        <rFont val="Arial"/>
        <family val="2"/>
      </rPr>
      <t xml:space="preserve">General references (company, year) </t>
    </r>
    <r>
      <rPr>
        <sz val="10"/>
        <rFont val="Arial"/>
        <family val="2"/>
      </rPr>
      <t>:</t>
    </r>
  </si>
  <si>
    <t>11.3</t>
  </si>
  <si>
    <r>
      <t xml:space="preserve">Besondere Referenzen aus der Lebensmittelindustrie (Unternehmen, Jahr):
</t>
    </r>
    <r>
      <rPr>
        <sz val="8"/>
        <rFont val="Arial"/>
        <family val="2"/>
      </rPr>
      <t>Specific references from the food industry (company, year):</t>
    </r>
  </si>
  <si>
    <r>
      <t xml:space="preserve">Unternehmerische Gesellschaftsverantwortung /
</t>
    </r>
    <r>
      <rPr>
        <b/>
        <sz val="10"/>
        <rFont val="Arial"/>
        <family val="2"/>
      </rPr>
      <t xml:space="preserve">Corporate Social Responsibility </t>
    </r>
  </si>
  <si>
    <t>12.1</t>
  </si>
  <si>
    <r>
      <t xml:space="preserve">Gibt es in Ihrem Unternehmen Bemühungen um Menschenrechte zu achten? Welche?
</t>
    </r>
    <r>
      <rPr>
        <sz val="8"/>
        <rFont val="Arial"/>
        <family val="2"/>
      </rPr>
      <t>Does your company's efforts to respect for human rights? Which?</t>
    </r>
  </si>
  <si>
    <t>12.2</t>
  </si>
  <si>
    <r>
      <t xml:space="preserve">Gibt es in Ihrem Unternehmen Verhaltenscodizes zu Diskriminierung / Belästigung?
</t>
    </r>
    <r>
      <rPr>
        <sz val="8"/>
        <rFont val="Arial"/>
        <family val="2"/>
      </rPr>
      <t>Does in your company exist codes of conduct to discrimination / harassment?</t>
    </r>
  </si>
  <si>
    <t>12.3</t>
  </si>
  <si>
    <r>
      <t xml:space="preserve">Haben Sie Vorschriften die Kinderarbeit und Zwangsarbeit ausschließen?
</t>
    </r>
    <r>
      <rPr>
        <sz val="8"/>
        <rFont val="Arial"/>
        <family val="2"/>
      </rPr>
      <t>Did you exclude the provisions of child labor and forced labor?</t>
    </r>
  </si>
  <si>
    <t>12.4</t>
  </si>
  <si>
    <r>
      <t xml:space="preserve">Prüfen Sie, ob Ihre Lieferanten die Menschenrechte einhalten und auf Kinder- und Zwangsarbeit verzichten? 
</t>
    </r>
    <r>
      <rPr>
        <sz val="8"/>
        <rFont val="Arial"/>
        <family val="2"/>
      </rPr>
      <t>Do you check your suppliers if they respect human rights and refrain from using child labor and forced labor?</t>
    </r>
  </si>
  <si>
    <t>13.1</t>
  </si>
  <si>
    <t>13.2</t>
  </si>
  <si>
    <t>13.3</t>
  </si>
  <si>
    <t>13.4</t>
  </si>
  <si>
    <t>13.5</t>
  </si>
  <si>
    <t>13.6</t>
  </si>
  <si>
    <t>13.7</t>
  </si>
  <si>
    <r>
      <rPr>
        <b/>
        <sz val="12"/>
        <rFont val="Arial"/>
        <family val="2"/>
      </rPr>
      <t xml:space="preserve">Einkaufsbedingungen </t>
    </r>
    <r>
      <rPr>
        <b/>
        <sz val="10"/>
        <rFont val="Arial"/>
        <family val="2"/>
      </rPr>
      <t>/ Purchasing Conditions</t>
    </r>
  </si>
  <si>
    <t>14.1</t>
  </si>
  <si>
    <r>
      <t xml:space="preserve">Erfolgte die Bekanntmachung der Einkaufsbedingungen durch eine persönliche Aushändigung / Empfang?
</t>
    </r>
    <r>
      <rPr>
        <sz val="8"/>
        <rFont val="Arial"/>
        <family val="2"/>
      </rPr>
      <t>Was the announcement of the conditions of purchase by personal delivery / reception?</t>
    </r>
  </si>
  <si>
    <t>14.2</t>
  </si>
  <si>
    <r>
      <t xml:space="preserve">Erfolgte die Bekanntmachung der Einkaufsbedingungen über das Internet?
</t>
    </r>
    <r>
      <rPr>
        <sz val="8"/>
        <rFont val="Arial"/>
        <family val="2"/>
      </rPr>
      <t>Was the announcement of the conditions of purchase over the internet?</t>
    </r>
  </si>
  <si>
    <t>Gesamt</t>
  </si>
  <si>
    <r>
      <rPr>
        <b/>
        <sz val="9"/>
        <rFont val="Arial"/>
        <family val="2"/>
      </rPr>
      <t xml:space="preserve">Alle gemachten Angaben sind wahrheitsgemäß.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All details provided are the truth.
</t>
    </r>
    <r>
      <rPr>
        <b/>
        <sz val="7"/>
        <rFont val="Arial"/>
        <family val="2"/>
      </rPr>
      <t xml:space="preserve">
</t>
    </r>
    <r>
      <rPr>
        <b/>
        <sz val="9"/>
        <rFont val="Arial"/>
        <family val="2"/>
      </rPr>
      <t xml:space="preserve">Vertraulichkeitserklärung / </t>
    </r>
    <r>
      <rPr>
        <b/>
        <sz val="8"/>
        <rFont val="Arial"/>
        <family val="2"/>
      </rPr>
      <t>Confidentiality statement</t>
    </r>
    <r>
      <rPr>
        <b/>
        <sz val="9"/>
        <rFont val="Arial"/>
        <family val="2"/>
      </rPr>
      <t xml:space="preserve">:
Für laufende sowie zukünftige Ausschreibungen sichern wir die vertrauliche Behandlung der erhaltenen sowie noch zu erhaltenden Informationen zu. Die Weiterleitung der informationen an Dritte ist ausgeschlossen.
</t>
    </r>
    <r>
      <rPr>
        <b/>
        <sz val="8"/>
        <rFont val="Arial"/>
        <family val="2"/>
      </rPr>
      <t>For current and future invitations to tender, we ensure the confidentiality of the obtained information and on information to be received. The forwarding of information to third parties is impossible.</t>
    </r>
    <r>
      <rPr>
        <b/>
        <sz val="9"/>
        <rFont val="Arial"/>
        <family val="2"/>
      </rPr>
      <t xml:space="preserve">
Wir akzeptieren die Einkaufsbedingungen des DMK. 
</t>
    </r>
    <r>
      <rPr>
        <b/>
        <sz val="8"/>
        <rFont val="Arial"/>
        <family val="2"/>
      </rPr>
      <t>We accept the conditions of purchase of DMK.</t>
    </r>
    <r>
      <rPr>
        <b/>
        <sz val="9"/>
        <rFont val="Arial"/>
        <family val="2"/>
      </rPr>
      <t xml:space="preserve">
</t>
    </r>
  </si>
  <si>
    <t>Datum                                                                 Date</t>
  </si>
  <si>
    <t>Stempel, rechtverbindliche Unterschrift                                   Stamp, legally binding Signature</t>
  </si>
  <si>
    <r>
      <rPr>
        <b/>
        <sz val="10"/>
        <rFont val="Arial"/>
        <family val="2"/>
      </rPr>
      <t xml:space="preserve">
Manufacturer and supplier Self Asessment Questionnaire direct material
</t>
    </r>
    <r>
      <rPr>
        <b/>
        <sz val="14"/>
        <rFont val="Arial"/>
        <family val="2"/>
      </rPr>
      <t xml:space="preserve">             </t>
    </r>
  </si>
  <si>
    <r>
      <t xml:space="preserve">Rückrufaktionen/ 
</t>
    </r>
    <r>
      <rPr>
        <b/>
        <sz val="10"/>
        <rFont val="Arial"/>
        <family val="2"/>
      </rPr>
      <t>Recall actions</t>
    </r>
  </si>
  <si>
    <t>15.1</t>
  </si>
  <si>
    <t>15.2</t>
  </si>
  <si>
    <r>
      <t xml:space="preserve">Wird das Rückrufverfahren regelmäßig (mind. 1x jährlich) getestet und ausgewertet?              
</t>
    </r>
    <r>
      <rPr>
        <sz val="8"/>
        <rFont val="Arial"/>
        <family val="2"/>
      </rPr>
      <t>Are recall actions (at least once a year) checked and evaluated regularly (at least once a year)?</t>
    </r>
  </si>
  <si>
    <t>15.3</t>
  </si>
  <si>
    <r>
      <t xml:space="preserve">Wird die ordnungsgemäße Entsorgung in Abstimmung mit dem Kunden überwacht?                
</t>
    </r>
    <r>
      <rPr>
        <sz val="8"/>
        <rFont val="Arial"/>
        <family val="2"/>
      </rPr>
      <t>Is proper waste disposal monitored by coordination with the client?</t>
    </r>
  </si>
  <si>
    <r>
      <t xml:space="preserve">Rückverfolgbarkeit/ 
</t>
    </r>
    <r>
      <rPr>
        <b/>
        <sz val="10"/>
        <rFont val="Arial"/>
        <family val="2"/>
      </rPr>
      <t>Traceability</t>
    </r>
  </si>
  <si>
    <t>16.1</t>
  </si>
  <si>
    <t>16.2</t>
  </si>
  <si>
    <r>
      <t xml:space="preserve">Ist die Rückverfolgbarkeit von eingesetzten produktberührende Anlagenteilen oder Bedarfs- und Hilfsgegenstände (z.B. Verpackungen) gewährleistet ?
</t>
    </r>
    <r>
      <rPr>
        <sz val="8"/>
        <rFont val="Arial"/>
        <family val="2"/>
      </rPr>
      <t>Is the traceability of applied plant parts or supplies which have contact with products (for example packaging) guaranteed?</t>
    </r>
  </si>
  <si>
    <t>16.3</t>
  </si>
  <si>
    <r>
      <t xml:space="preserve">Können sie die notwendigen Unterlagen innerhalb von 4 Stunden bereitstellen ?
</t>
    </r>
    <r>
      <rPr>
        <sz val="8"/>
        <rFont val="Arial"/>
        <family val="2"/>
      </rPr>
      <t>Is it possible to provide the essential documents within 4 hours?</t>
    </r>
  </si>
  <si>
    <r>
      <t xml:space="preserve">Prozessteuerung/ 
</t>
    </r>
    <r>
      <rPr>
        <b/>
        <sz val="10"/>
        <rFont val="Arial"/>
        <family val="2"/>
      </rPr>
      <t>Process control</t>
    </r>
  </si>
  <si>
    <t>17.1</t>
  </si>
  <si>
    <t>17.2</t>
  </si>
  <si>
    <r>
      <t xml:space="preserve">Gibt es festgelegte Vorgaben für den Produktionsprozess?
</t>
    </r>
    <r>
      <rPr>
        <sz val="8"/>
        <rFont val="Arial"/>
        <family val="2"/>
      </rPr>
      <t>Do guidelines exist for the production process?</t>
    </r>
  </si>
  <si>
    <t>17.3</t>
  </si>
  <si>
    <r>
      <t xml:space="preserve">Werden qualitätsrelevante Daten bis Ende MHD ihrer Produkte aufbewahrt ?
</t>
    </r>
    <r>
      <rPr>
        <sz val="8"/>
        <rFont val="Arial"/>
        <family val="2"/>
      </rPr>
      <t>Are data which are relevant for quality stored until end of best before date of products?</t>
    </r>
  </si>
  <si>
    <r>
      <t xml:space="preserve">Prüfmittel/ 
</t>
    </r>
    <r>
      <rPr>
        <b/>
        <sz val="10"/>
        <rFont val="Arial"/>
        <family val="2"/>
      </rPr>
      <t>Testing equipment</t>
    </r>
  </si>
  <si>
    <t>18.1</t>
  </si>
  <si>
    <r>
      <t xml:space="preserve">Sind Prüfmittel festgelegt und identifiziert ?
</t>
    </r>
    <r>
      <rPr>
        <sz val="8"/>
        <rFont val="Arial"/>
        <family val="2"/>
      </rPr>
      <t>Is testing equipment stipulated and identified?</t>
    </r>
  </si>
  <si>
    <t>18.2</t>
  </si>
  <si>
    <r>
      <t xml:space="preserve">Interne Audits/ 
</t>
    </r>
    <r>
      <rPr>
        <b/>
        <sz val="10"/>
        <rFont val="Arial"/>
        <family val="2"/>
      </rPr>
      <t>Internal audits</t>
    </r>
  </si>
  <si>
    <t>19.1</t>
  </si>
  <si>
    <r>
      <t xml:space="preserve">Werden interne Audits durchgeführt ?
</t>
    </r>
    <r>
      <rPr>
        <sz val="8"/>
        <rFont val="Arial"/>
        <family val="2"/>
      </rPr>
      <t>Are internal audits carried out?</t>
    </r>
  </si>
  <si>
    <t>19.2</t>
  </si>
  <si>
    <t>19.3</t>
  </si>
  <si>
    <r>
      <t xml:space="preserve">Werden die CCP´s mindestens einmal jährlich intern auditiert ?
</t>
    </r>
    <r>
      <rPr>
        <sz val="8"/>
        <rFont val="Arial"/>
        <family val="2"/>
      </rPr>
      <t xml:space="preserve">Are CCPs audited internally at least once a year? </t>
    </r>
  </si>
  <si>
    <r>
      <t xml:space="preserve">Reklamationsmanagement/                        
</t>
    </r>
    <r>
      <rPr>
        <b/>
        <sz val="10"/>
        <rFont val="Arial"/>
        <family val="2"/>
      </rPr>
      <t>Complaints management</t>
    </r>
  </si>
  <si>
    <t>20.1</t>
  </si>
  <si>
    <t>20.2</t>
  </si>
  <si>
    <r>
      <t xml:space="preserve">Werden die Reklamationen regelmäßig ausgewertet ?
</t>
    </r>
    <r>
      <rPr>
        <sz val="8"/>
        <rFont val="Arial"/>
        <family val="2"/>
      </rPr>
      <t>Are complaints evaluated regularly?</t>
    </r>
  </si>
  <si>
    <t>20.3</t>
  </si>
  <si>
    <r>
      <t xml:space="preserve">Werden aufgrund von Reklamationen Verbesserungsmaßnahmen eingeleitet ?
</t>
    </r>
    <r>
      <rPr>
        <sz val="8"/>
        <rFont val="Arial"/>
        <family val="2"/>
      </rPr>
      <t>Do you introduce improvements on the basis of complaints?</t>
    </r>
  </si>
  <si>
    <r>
      <t xml:space="preserve">Lieferantenbewertung/                 
</t>
    </r>
    <r>
      <rPr>
        <b/>
        <sz val="10"/>
        <rFont val="Arial"/>
        <family val="2"/>
      </rPr>
      <t>Supplier assessment</t>
    </r>
  </si>
  <si>
    <t>21.1</t>
  </si>
  <si>
    <r>
      <t xml:space="preserve">Findet eine regelmäßige und dokumentierte Lieferantenbewertung statt ?
</t>
    </r>
    <r>
      <rPr>
        <sz val="8"/>
        <rFont val="Arial"/>
        <family val="2"/>
      </rPr>
      <t>Do documented supplier assessments take place regularly?</t>
    </r>
  </si>
  <si>
    <r>
      <t xml:space="preserve">Qualitätssicherung/                               
</t>
    </r>
    <r>
      <rPr>
        <b/>
        <sz val="10"/>
        <rFont val="Arial"/>
        <family val="2"/>
      </rPr>
      <t>Quality Assurance</t>
    </r>
  </si>
  <si>
    <t>22.1</t>
  </si>
  <si>
    <r>
      <t xml:space="preserve">Liegen für die von Ihnen eingesetzten Roh- und Zusatzstoffe aktuelle Soll- und Grenzwerte vor?
</t>
    </r>
    <r>
      <rPr>
        <sz val="8"/>
        <rFont val="Arial"/>
        <family val="2"/>
      </rPr>
      <t>Do actual reference and threshold values exist for the raw materials and additives used in your company?</t>
    </r>
  </si>
  <si>
    <t>22.2</t>
  </si>
  <si>
    <r>
      <t xml:space="preserve">Liegen sowohl für Halbfertig- als auch für Endprodukte Soll- und Grenzwerte vor ?
</t>
    </r>
    <r>
      <rPr>
        <sz val="8"/>
        <rFont val="Arial"/>
        <family val="2"/>
      </rPr>
      <t>Do reference and threshold values exist for both semi-finished products and final products?</t>
    </r>
  </si>
  <si>
    <t>22.3</t>
  </si>
  <si>
    <t>22.4</t>
  </si>
  <si>
    <r>
      <t xml:space="preserve">Ist das Laborpersonal für die durchzuführenden Analysen ausreichend qualifiziert?
</t>
    </r>
    <r>
      <rPr>
        <sz val="8"/>
        <rFont val="Arial"/>
        <family val="2"/>
      </rPr>
      <t>Do laboratory assistants have sufficient qualifications for the analyses which are to be conducted?</t>
    </r>
  </si>
  <si>
    <t>22.5</t>
  </si>
  <si>
    <r>
      <t xml:space="preserve">Wird an Ringanalysen teilgenommen?
</t>
    </r>
    <r>
      <rPr>
        <sz val="8"/>
        <rFont val="Arial"/>
        <family val="2"/>
      </rPr>
      <t>Do you participate in intra-laboratory analyses?</t>
    </r>
  </si>
  <si>
    <t>22.6</t>
  </si>
  <si>
    <r>
      <t xml:space="preserve">Wird mit externen Laboren zusammengearbeitet?
</t>
    </r>
    <r>
      <rPr>
        <sz val="8"/>
        <rFont val="Arial"/>
        <family val="2"/>
      </rPr>
      <t>Do you work together with external laboratories?</t>
    </r>
  </si>
  <si>
    <t>22.7</t>
  </si>
  <si>
    <r>
      <t xml:space="preserve">Wenn ja, sind diese akkreditiert ?
</t>
    </r>
    <r>
      <rPr>
        <sz val="8"/>
        <rFont val="Arial"/>
        <family val="2"/>
      </rPr>
      <t>If yes, are these accredited?</t>
    </r>
  </si>
  <si>
    <r>
      <t xml:space="preserve">Werksplanung und Materialfluss/ 
</t>
    </r>
    <r>
      <rPr>
        <b/>
        <sz val="10"/>
        <rFont val="Arial"/>
        <family val="2"/>
      </rPr>
      <t>Workflow and material flow</t>
    </r>
  </si>
  <si>
    <t>23.1</t>
  </si>
  <si>
    <r>
      <t xml:space="preserve">Gebäude und Infrastruktur/ 
</t>
    </r>
    <r>
      <rPr>
        <b/>
        <sz val="10"/>
        <rFont val="Arial"/>
        <family val="2"/>
      </rPr>
      <t>Buildings and infrastructure</t>
    </r>
  </si>
  <si>
    <t>24.1</t>
  </si>
  <si>
    <r>
      <t xml:space="preserve">Ist das Gebäude in gutem Zustand (Wände mit intaktem Anstrich ohne Schimmel, Böden intakt ohne Pfützenbildung)?                                          
</t>
    </r>
    <r>
      <rPr>
        <sz val="8"/>
        <rFont val="Arial"/>
        <family val="2"/>
      </rPr>
      <t>Is the state of repair good (walls with intact coat of paint without mould, intact ground without ponding)?</t>
    </r>
  </si>
  <si>
    <t>24.2</t>
  </si>
  <si>
    <r>
      <t xml:space="preserve">Sind die Werkzeuge und Arbeitsplätze in einem guten Zustand?                                                           
</t>
    </r>
    <r>
      <rPr>
        <sz val="8"/>
        <rFont val="Arial"/>
        <family val="2"/>
      </rPr>
      <t>Are tools and workplaces in a good condition?</t>
    </r>
  </si>
  <si>
    <t>24.3</t>
  </si>
  <si>
    <r>
      <t xml:space="preserve">Wird das Eindringen von Schädlingen verhindert? 
</t>
    </r>
    <r>
      <rPr>
        <sz val="8"/>
        <rFont val="Arial"/>
        <family val="2"/>
      </rPr>
      <t xml:space="preserve">Is the infiltration of vermin prevented?   </t>
    </r>
  </si>
  <si>
    <r>
      <t xml:space="preserve">Instandhaltung/ 
</t>
    </r>
    <r>
      <rPr>
        <b/>
        <sz val="10"/>
        <rFont val="Arial"/>
        <family val="2"/>
      </rPr>
      <t>Maintenance</t>
    </r>
  </si>
  <si>
    <t>25.1</t>
  </si>
  <si>
    <t>25.2</t>
  </si>
  <si>
    <r>
      <t xml:space="preserve">Werden Instandhaltungsmaßnahmen, insbesondere bei produktberührenden Teilen, erfaßt und ausgewertet?
</t>
    </r>
    <r>
      <rPr>
        <sz val="8"/>
        <rFont val="Arial"/>
        <family val="2"/>
      </rPr>
      <t>Are maintenance measures in particular with parts which come into contact with products recorded and evaluated?</t>
    </r>
  </si>
  <si>
    <t>25.3</t>
  </si>
  <si>
    <r>
      <t xml:space="preserve">Werden Anlagen nach Wartungs- und Instandsetzungsmaßnahmen gereinigt, geprüft und freigegeben?
</t>
    </r>
    <r>
      <rPr>
        <sz val="8"/>
        <rFont val="Arial"/>
        <family val="2"/>
      </rPr>
      <t>Are plants cleaned, checked and released after maintenance and repair service?</t>
    </r>
  </si>
  <si>
    <t>25.4</t>
  </si>
  <si>
    <r>
      <t xml:space="preserve">Werden an den relevanten Punkten lebensmitteltaugliche Schmiermittel eingesetzt?     </t>
    </r>
    <r>
      <rPr>
        <sz val="8"/>
        <rFont val="Arial"/>
        <family val="2"/>
      </rPr>
      <t>Are food safe lubricants used at relevant spots?</t>
    </r>
  </si>
  <si>
    <t>25.5</t>
  </si>
  <si>
    <r>
      <t xml:space="preserve">Wird eine negative Beeinflussung der Produkte durch Schmiermittel ausgeschlossen?
</t>
    </r>
    <r>
      <rPr>
        <sz val="8"/>
        <rFont val="Arial"/>
        <family val="2"/>
      </rPr>
      <t>Is a negative influence of products by lubricants excluded?</t>
    </r>
  </si>
  <si>
    <r>
      <t xml:space="preserve">Reinigung/ 
</t>
    </r>
    <r>
      <rPr>
        <b/>
        <sz val="10"/>
        <rFont val="Arial"/>
        <family val="2"/>
      </rPr>
      <t>Cleaning</t>
    </r>
  </si>
  <si>
    <t>26.1</t>
  </si>
  <si>
    <t>26.2</t>
  </si>
  <si>
    <r>
      <t xml:space="preserve">Gibt es schriftliche Reinigungsanweisungen?
</t>
    </r>
    <r>
      <rPr>
        <sz val="8"/>
        <rFont val="Arial"/>
        <family val="2"/>
      </rPr>
      <t>Do written cleaning orders exist?</t>
    </r>
  </si>
  <si>
    <t>26.3</t>
  </si>
  <si>
    <r>
      <t xml:space="preserve">Wird der Reinigungserfolg regelmäßig überprüft?
</t>
    </r>
    <r>
      <rPr>
        <sz val="8"/>
        <rFont val="Arial"/>
        <family val="2"/>
      </rPr>
      <t>Is cleaning success checked regularly?</t>
    </r>
  </si>
  <si>
    <t>26.4</t>
  </si>
  <si>
    <r>
      <t xml:space="preserve">Werden regelmäßig Überprüfungen auf evtl. Reinigungsmittelreste durchgeführt?
</t>
    </r>
    <r>
      <rPr>
        <sz val="8"/>
        <rFont val="Arial"/>
        <family val="2"/>
      </rPr>
      <t>Are screenings on cleansing agent residues carried out regularly?</t>
    </r>
  </si>
  <si>
    <t>26.5</t>
  </si>
  <si>
    <r>
      <t xml:space="preserve">Werden im Produktionsbereich nur Tagesmengen an Reinigungsmitteln gelagert? </t>
    </r>
    <r>
      <rPr>
        <sz val="8"/>
        <rFont val="Arial"/>
        <family val="2"/>
      </rPr>
      <t xml:space="preserve"> 
Are only daily quantities of cleaning agents stored in the production area?          </t>
    </r>
    <r>
      <rPr>
        <sz val="10"/>
        <rFont val="Arial"/>
        <family val="2"/>
      </rPr>
      <t xml:space="preserve">                     </t>
    </r>
  </si>
  <si>
    <r>
      <t xml:space="preserve">Abfall und Entsorgung/                      
</t>
    </r>
    <r>
      <rPr>
        <b/>
        <sz val="10"/>
        <rFont val="Arial"/>
        <family val="2"/>
      </rPr>
      <t>Rubbish and waste disposal</t>
    </r>
  </si>
  <si>
    <t>27.1</t>
  </si>
  <si>
    <r>
      <t xml:space="preserve">Ist eine negative Beeinflussung von Produkten, Rohstoffen, Zusatzstoffen, Bedarfsgegenständen und Verpackungsmaterial durch Abfälle ausgeschlossen ?
</t>
    </r>
    <r>
      <rPr>
        <sz val="8"/>
        <rFont val="Arial"/>
        <family val="2"/>
      </rPr>
      <t>Is a negative influence of products, raw materials, additives, commodities and packaging by rubbish excluded?</t>
    </r>
  </si>
  <si>
    <t>27.2</t>
  </si>
  <si>
    <r>
      <t xml:space="preserve">Werden die Abfälle regelmäßig durch eine zugelassenen Entsorger abgeholt?
</t>
    </r>
    <r>
      <rPr>
        <sz val="8"/>
        <rFont val="Arial"/>
        <family val="2"/>
      </rPr>
      <t>Is rubbish regularly collected by authorized waste disposal companies?</t>
    </r>
    <r>
      <rPr>
        <sz val="10"/>
        <rFont val="Arial"/>
        <family val="2"/>
      </rPr>
      <t xml:space="preserve">                      </t>
    </r>
  </si>
  <si>
    <r>
      <t xml:space="preserve">Schädlingsbekämpfung/
</t>
    </r>
    <r>
      <rPr>
        <b/>
        <sz val="10"/>
        <rFont val="Arial"/>
        <family val="2"/>
      </rPr>
      <t>Pest control</t>
    </r>
  </si>
  <si>
    <t>28.1</t>
  </si>
  <si>
    <r>
      <t xml:space="preserve">Setzen sie zur Schädlingsbekämpfung einen Dienstleister ein?
</t>
    </r>
    <r>
      <rPr>
        <sz val="8"/>
        <rFont val="Arial"/>
        <family val="2"/>
      </rPr>
      <t xml:space="preserve">Do you use service providers for pest control?   </t>
    </r>
  </si>
  <si>
    <t>28.2</t>
  </si>
  <si>
    <r>
      <t xml:space="preserve">Sind Giftköder im Produktionsbereich untersagt?
</t>
    </r>
    <r>
      <rPr>
        <sz val="8"/>
        <rFont val="Arial"/>
        <family val="2"/>
      </rPr>
      <t>Are toxic bait forbidden in the production area?</t>
    </r>
  </si>
  <si>
    <t>28.3</t>
  </si>
  <si>
    <r>
      <t xml:space="preserve">Sind die Fluginsektenfallen so positioniert, dass Produkte nicht kontaminiert werden? 
</t>
    </r>
    <r>
      <rPr>
        <sz val="8"/>
        <rFont val="Arial"/>
        <family val="2"/>
      </rPr>
      <t xml:space="preserve">Are the flying insect traps positioned so that products cannot be contaminated? </t>
    </r>
  </si>
  <si>
    <t>28.4</t>
  </si>
  <si>
    <t>28.5</t>
  </si>
  <si>
    <r>
      <t xml:space="preserve">Prüfen sie nach einer Schädlingsbekämpfung (z.B. Vernebelung) das Vorhandensein von Wirkstoffrückständen (z.B. PBO´s)?
</t>
    </r>
    <r>
      <rPr>
        <sz val="8"/>
        <rFont val="Arial"/>
        <family val="2"/>
      </rPr>
      <t>Do you check after pest control (for example fumigation) existence of active substance residues (for example PBOs)?</t>
    </r>
  </si>
  <si>
    <r>
      <t xml:space="preserve">Lagerung und Transport/                   
</t>
    </r>
    <r>
      <rPr>
        <b/>
        <sz val="10"/>
        <rFont val="Arial"/>
        <family val="2"/>
      </rPr>
      <t>Storage and transport</t>
    </r>
  </si>
  <si>
    <t>29.1</t>
  </si>
  <si>
    <t>29.2</t>
  </si>
  <si>
    <r>
      <t xml:space="preserve">Wird der Kunde bei Störungen während des Transportes verständigt ?
</t>
    </r>
    <r>
      <rPr>
        <sz val="8"/>
        <rFont val="Arial"/>
        <family val="2"/>
      </rPr>
      <t xml:space="preserve">Is the client notified of disturbances during transport?   </t>
    </r>
    <r>
      <rPr>
        <sz val="10"/>
        <rFont val="Arial"/>
        <family val="2"/>
      </rPr>
      <t xml:space="preserve">                       </t>
    </r>
  </si>
  <si>
    <r>
      <t xml:space="preserve">Personal/ 
</t>
    </r>
    <r>
      <rPr>
        <b/>
        <sz val="10"/>
        <rFont val="Arial"/>
        <family val="2"/>
      </rPr>
      <t>Personnel</t>
    </r>
  </si>
  <si>
    <t>30.1</t>
  </si>
  <si>
    <r>
      <t xml:space="preserve">Ist im Produktionsbereich das Rauchen untersagt?
</t>
    </r>
    <r>
      <rPr>
        <sz val="8"/>
        <rFont val="Arial"/>
        <family val="2"/>
      </rPr>
      <t>Is smoking prohibited in the production area?</t>
    </r>
  </si>
  <si>
    <t>30.2</t>
  </si>
  <si>
    <r>
      <t xml:space="preserve">Ist im Produktionsbereich das Essen und Trinken untersagt?
</t>
    </r>
    <r>
      <rPr>
        <sz val="8"/>
        <rFont val="Arial"/>
        <family val="2"/>
      </rPr>
      <t>Are food and drinks forbidden in production area?</t>
    </r>
  </si>
  <si>
    <r>
      <t xml:space="preserve">Umkleideräume/ 
</t>
    </r>
    <r>
      <rPr>
        <b/>
        <sz val="10"/>
        <rFont val="Arial"/>
        <family val="2"/>
      </rPr>
      <t>Changing room</t>
    </r>
  </si>
  <si>
    <t>31.1</t>
  </si>
  <si>
    <r>
      <t xml:space="preserve">Sind getrennte Spinde (Berufs- und Privatkleidung) vorhanden?
</t>
    </r>
    <r>
      <rPr>
        <sz val="8"/>
        <rFont val="Arial"/>
        <family val="2"/>
      </rPr>
      <t>Do separate lockers exist (working clothes and private clothes)?</t>
    </r>
  </si>
  <si>
    <r>
      <t xml:space="preserve">Toiletten und Handwaschbecken/ 
</t>
    </r>
    <r>
      <rPr>
        <b/>
        <sz val="10"/>
        <rFont val="Arial"/>
        <family val="2"/>
      </rPr>
      <t>Toilets and washbasins</t>
    </r>
  </si>
  <si>
    <t>32.1</t>
  </si>
  <si>
    <r>
      <t xml:space="preserve">Werden die Toiletten regelmäßig gereinigt (mind. einmal täglich)?
</t>
    </r>
    <r>
      <rPr>
        <sz val="8"/>
        <rFont val="Arial"/>
        <family val="2"/>
      </rPr>
      <t>Are toilets cleaned regularly (at least once a day)?</t>
    </r>
  </si>
  <si>
    <t>32.2</t>
  </si>
  <si>
    <r>
      <t xml:space="preserve">Sind die Handwaschbecken berührungsfrei ? 
</t>
    </r>
    <r>
      <rPr>
        <sz val="8"/>
        <rFont val="Arial"/>
        <family val="2"/>
      </rPr>
      <t>Are the sinks touch-free?</t>
    </r>
  </si>
  <si>
    <r>
      <t xml:space="preserve">Gesundheitsvorsorge/                      
</t>
    </r>
    <r>
      <rPr>
        <b/>
        <sz val="10"/>
        <rFont val="Arial"/>
        <family val="2"/>
      </rPr>
      <t>Health precaution</t>
    </r>
  </si>
  <si>
    <t>33.1</t>
  </si>
  <si>
    <r>
      <t xml:space="preserve">Gibt es eine Meldepflicht für Infektionskrankheiten?
</t>
    </r>
    <r>
      <rPr>
        <sz val="8"/>
        <rFont val="Arial"/>
        <family val="2"/>
      </rPr>
      <t>Is there a compulsory registration for infectious diseases?</t>
    </r>
  </si>
  <si>
    <t>33.2</t>
  </si>
  <si>
    <t>33.3</t>
  </si>
  <si>
    <r>
      <t xml:space="preserve">Werden Besucher und Monteure auf die Meldepflicht von Infektionskrankheiten aufmerksam gemacht?
</t>
    </r>
    <r>
      <rPr>
        <sz val="8"/>
        <rFont val="Arial"/>
        <family val="2"/>
      </rPr>
      <t>Are visitors and mechanics informed about compulsory registration of infectious diseases?</t>
    </r>
  </si>
  <si>
    <t>33.4</t>
  </si>
  <si>
    <r>
      <t xml:space="preserve">Ist eine negative Beeeinflussung von Produkten durch 1.Hilfe-Material ausgeschlossen?
</t>
    </r>
    <r>
      <rPr>
        <sz val="8"/>
        <rFont val="Arial"/>
        <family val="2"/>
      </rPr>
      <t>Is a negative influence of products through first-aid material excluded?</t>
    </r>
  </si>
  <si>
    <t>Hygienemanagement/                      
hygiene management</t>
  </si>
  <si>
    <t>34.1</t>
  </si>
  <si>
    <t>34.2</t>
  </si>
  <si>
    <r>
      <t xml:space="preserve">Liegt eine Hygienekonzept vor?
</t>
    </r>
    <r>
      <rPr>
        <sz val="8"/>
        <rFont val="Arial"/>
        <family val="2"/>
      </rPr>
      <t>Is there a hygiene plan?</t>
    </r>
  </si>
  <si>
    <t>34.3</t>
  </si>
  <si>
    <r>
      <t xml:space="preserve">Wird dieses Konzept regelmäßig überprüft?
</t>
    </r>
    <r>
      <rPr>
        <sz val="8"/>
        <rFont val="Arial"/>
        <family val="2"/>
      </rPr>
      <t>Is this plan checked regularly?</t>
    </r>
  </si>
  <si>
    <t>34.4</t>
  </si>
  <si>
    <r>
      <t xml:space="preserve">Werden nachweislich alle Mitarbeiter regelmäßig zu Hygienethemen (gemäß Infektionsschutzgesetz) geschult?                          
</t>
    </r>
    <r>
      <rPr>
        <sz val="8"/>
        <rFont val="Arial"/>
        <family val="2"/>
      </rPr>
      <t xml:space="preserve">Are all employees trained verifiable in hygiene (in accordance with the infection protection law)?          </t>
    </r>
    <r>
      <rPr>
        <sz val="10"/>
        <rFont val="Arial"/>
        <family val="2"/>
      </rPr>
      <t xml:space="preserve">          </t>
    </r>
  </si>
  <si>
    <r>
      <t xml:space="preserve">Schmuck- und persönliche Gegenstände / 
</t>
    </r>
    <r>
      <rPr>
        <b/>
        <sz val="10"/>
        <rFont val="Arial"/>
        <family val="2"/>
      </rPr>
      <t>Jewellery and personal objects</t>
    </r>
  </si>
  <si>
    <t>35.1</t>
  </si>
  <si>
    <r>
      <t xml:space="preserve">Sind Uhren, Schmuck und sichtbare Piercings im Produktionsbereich untersagt?
</t>
    </r>
    <r>
      <rPr>
        <sz val="8"/>
        <rFont val="Arial"/>
        <family val="2"/>
      </rPr>
      <t>Are watches, jewellery and visible piercings prohibited in production area?</t>
    </r>
  </si>
  <si>
    <r>
      <t xml:space="preserve">Schutzkleidung/ 
</t>
    </r>
    <r>
      <rPr>
        <b/>
        <sz val="10"/>
        <rFont val="Arial"/>
        <family val="2"/>
      </rPr>
      <t>Protective clothes</t>
    </r>
  </si>
  <si>
    <t>36.1</t>
  </si>
  <si>
    <r>
      <t xml:space="preserve">Wird eine einheitliche Schutzkleidung verwendet?
</t>
    </r>
    <r>
      <rPr>
        <sz val="8"/>
        <rFont val="Arial"/>
        <family val="2"/>
      </rPr>
      <t>Are uniform protective clothes used?</t>
    </r>
  </si>
  <si>
    <t>36.2</t>
  </si>
  <si>
    <r>
      <t xml:space="preserve">Wird diese Kleidung extern gereinigt?
</t>
    </r>
    <r>
      <rPr>
        <sz val="8"/>
        <rFont val="Arial"/>
        <family val="2"/>
      </rPr>
      <t>Are these clothes cleaned by service providers?</t>
    </r>
  </si>
  <si>
    <t>36.3</t>
  </si>
  <si>
    <r>
      <t xml:space="preserve">Werden Haarnetze und ggf. Bartschutz getragen?
</t>
    </r>
    <r>
      <rPr>
        <sz val="8"/>
        <rFont val="Arial"/>
        <family val="2"/>
      </rPr>
      <t>Do employees wear hairnets and if necessary beard protection?</t>
    </r>
  </si>
  <si>
    <t>5.5</t>
  </si>
  <si>
    <r>
      <t xml:space="preserve">Liegen eindeutige Produktspezifikationen und Konformitätserklärungen für die eingesetzten produktberührenden Bedarfs- und Hilfsgegenstände (z.B. Anlagenteile usw.) vor?
</t>
    </r>
    <r>
      <rPr>
        <sz val="8"/>
        <rFont val="Arial"/>
        <family val="2"/>
      </rPr>
      <t>Are clear product specifications  and declaration of compliance available for applied operating supplies which have contact with the products (for example plant parts etc.)?</t>
    </r>
  </si>
  <si>
    <t>9.5</t>
  </si>
  <si>
    <r>
      <t xml:space="preserve">Ist die Rückverfolgbarkeit von eingesetzten produktberührende Anlagenteilen oder Bedarfs- und Hilfsgegenstände gewährleistet ?
</t>
    </r>
    <r>
      <rPr>
        <sz val="8"/>
        <rFont val="Arial"/>
        <family val="2"/>
      </rPr>
      <t>Is the traceability of applied plant parts or supplies which have contact with products guaranteed?</t>
    </r>
  </si>
  <si>
    <t>packaging</t>
  </si>
  <si>
    <t>raw materials / ingredients / additives</t>
  </si>
  <si>
    <r>
      <rPr>
        <b/>
        <sz val="12"/>
        <rFont val="Arial"/>
        <family val="2"/>
      </rPr>
      <t>Produktschutz</t>
    </r>
    <r>
      <rPr>
        <b/>
        <sz val="10"/>
        <rFont val="Arial"/>
        <family val="2"/>
      </rPr>
      <t xml:space="preserve"> / Product Protection</t>
    </r>
  </si>
  <si>
    <r>
      <t xml:space="preserve">Sind Gefahrenanalyse und Bewertung und damit zusammenhängenden Risiken  zum Produktschutz durchgeführt und dokumentiert worden? Sind sicherheitskritische Bereiche identifiziert worden?
</t>
    </r>
    <r>
      <rPr>
        <sz val="8"/>
        <rFont val="Arial"/>
        <family val="2"/>
      </rPr>
      <t>Are risk analysis and assessment with the associated risks for product protection have been put into practise and were documentated ? Are safety-critical areas have been identified?</t>
    </r>
  </si>
  <si>
    <r>
      <t xml:space="preserve">Ist das Werksgelände umzäunt und gesichert?
</t>
    </r>
    <r>
      <rPr>
        <sz val="8"/>
        <rFont val="Arial"/>
        <family val="2"/>
      </rPr>
      <t xml:space="preserve">Are factory premises fenced in and safeguarded? </t>
    </r>
  </si>
  <si>
    <r>
      <t xml:space="preserve">Ist der Zugang eingeschränkt und kontrolliert?
</t>
    </r>
    <r>
      <rPr>
        <sz val="8"/>
        <rFont val="Arial"/>
        <family val="2"/>
      </rPr>
      <t>Is entrance limited and supervised?</t>
    </r>
  </si>
  <si>
    <r>
      <t xml:space="preserve">Gibt es Verfahren die Verfälschungen/ Sabotage verhindern und/oder die Identifizierung von Anzeichen für Sabotage ersichtlich machen?
</t>
    </r>
    <r>
      <rPr>
        <sz val="8"/>
        <rFont val="Arial"/>
        <family val="2"/>
      </rPr>
      <t>Are there methods to prevent the adulteration / sabotage and / or make the identification of signs of sabotage visible?</t>
    </r>
  </si>
  <si>
    <r>
      <t xml:space="preserve">Sind Lieferanten und Ladepersonal, die mit dem Produkt in Kontakt kommen, bekannt und ist der Zutritt geregelt?
</t>
    </r>
    <r>
      <rPr>
        <sz val="8"/>
        <rFont val="Arial"/>
        <family val="2"/>
      </rPr>
      <t>Are suppliers and loading personnel who come into contact with the product, known and access is regulated?</t>
    </r>
  </si>
  <si>
    <r>
      <t xml:space="preserve">Wird der Zeitpunkt des Zurtitts von Besucher und externen Dienstleistern registriert? Werden sie über die Richtlinien des Standortes informiert und ihr Zugang entsprechend kontrolliert?
</t>
    </r>
    <r>
      <rPr>
        <sz val="8"/>
        <rFont val="Arial"/>
        <family val="2"/>
      </rPr>
      <t>Will the time of entry of visitors and external service providers registered? Are they aware of the plant guidelines and is the access controlled?</t>
    </r>
  </si>
  <si>
    <r>
      <t xml:space="preserve">Sind im Außenbereich gelagerte Rohstoffe, Gerätschaften und Materialien vor unbefugtem Zugriff geschützt?
</t>
    </r>
    <r>
      <rPr>
        <sz val="8"/>
        <rFont val="Arial"/>
        <family val="2"/>
      </rPr>
      <t>Are raw materials, equipment and materials stored outdoors protected against unauthorized access?</t>
    </r>
  </si>
  <si>
    <t>Authentizität/ 
Food Fraud</t>
  </si>
  <si>
    <t>37.1</t>
  </si>
  <si>
    <t>37.2</t>
  </si>
  <si>
    <t>37.3</t>
  </si>
  <si>
    <r>
      <t xml:space="preserve">Leiten sie aus dem Schädlingsbefall Bekämpfungsmaßnahmen ein?
</t>
    </r>
    <r>
      <rPr>
        <sz val="8"/>
        <rFont val="Arial"/>
        <family val="2"/>
      </rPr>
      <t>Do you introduce pesticide in case of pest infestation?</t>
    </r>
  </si>
  <si>
    <t>14.3</t>
  </si>
  <si>
    <t>8.8</t>
  </si>
  <si>
    <r>
      <t xml:space="preserve">Zertifizierung nach ISO 9001 oder ISO 22000
Wenn ja, Zertifikat beifügen.
</t>
    </r>
    <r>
      <rPr>
        <sz val="8"/>
        <rFont val="Arial"/>
        <family val="2"/>
      </rPr>
      <t>Certification by ISO 9001 or ISO 22000
If yes, add certificate.</t>
    </r>
  </si>
  <si>
    <r>
      <t xml:space="preserve">Zertifizierung nach FSSC 22000
</t>
    </r>
    <r>
      <rPr>
        <sz val="8"/>
        <rFont val="Arial"/>
        <family val="2"/>
      </rPr>
      <t>Certification by FSSC 22000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Bei ja: nur Punkte 1 - 14 beantworten und Zertifikat beifügen.
</t>
    </r>
    <r>
      <rPr>
        <b/>
        <sz val="8"/>
        <rFont val="Arial"/>
        <family val="2"/>
      </rPr>
      <t xml:space="preserve">if yes: answer only points 1 - 14 and add certificate
</t>
    </r>
    <r>
      <rPr>
        <b/>
        <sz val="10"/>
        <rFont val="Arial"/>
        <family val="2"/>
      </rPr>
      <t>Bei nein: Punkte 1 - 36 beantworten</t>
    </r>
    <r>
      <rPr>
        <b/>
        <sz val="8"/>
        <rFont val="Arial"/>
        <family val="2"/>
      </rPr>
      <t xml:space="preserve">
if no: answer points 1 - 36</t>
    </r>
  </si>
  <si>
    <r>
      <t xml:space="preserve">Zertifizierung nach IFS/ Ergebnis
</t>
    </r>
    <r>
      <rPr>
        <sz val="8"/>
        <rFont val="Arial"/>
        <family val="2"/>
      </rPr>
      <t xml:space="preserve">Certification by IFS/ Result
</t>
    </r>
    <r>
      <rPr>
        <b/>
        <sz val="10"/>
        <rFont val="Arial"/>
        <family val="2"/>
      </rPr>
      <t>Bei ja: nur Punkte 1 - 14 beantworten und Zertifikat beifügen</t>
    </r>
    <r>
      <rPr>
        <b/>
        <sz val="8"/>
        <rFont val="Arial"/>
        <family val="2"/>
      </rPr>
      <t xml:space="preserve">.
if yes: answer only points 1 - 14 and add certificate
</t>
    </r>
    <r>
      <rPr>
        <b/>
        <sz val="10"/>
        <rFont val="Arial"/>
        <family val="2"/>
      </rPr>
      <t>Bei nein: Punkte 1 - 36 beantworten</t>
    </r>
    <r>
      <rPr>
        <b/>
        <sz val="8"/>
        <rFont val="Arial"/>
        <family val="2"/>
      </rPr>
      <t xml:space="preserve">
if no: answer points 1 - 36</t>
    </r>
  </si>
  <si>
    <r>
      <t xml:space="preserve">Zertifizierung nach BRC/ Ergebnis
</t>
    </r>
    <r>
      <rPr>
        <sz val="8"/>
        <rFont val="Arial"/>
        <family val="2"/>
      </rPr>
      <t xml:space="preserve">Certification by BRC/ Result
</t>
    </r>
    <r>
      <rPr>
        <b/>
        <sz val="10"/>
        <rFont val="Arial"/>
        <family val="2"/>
      </rPr>
      <t>Bei ja: nur Punkte 1 - 14 beantworten und Zertifikat beifügen.</t>
    </r>
    <r>
      <rPr>
        <b/>
        <sz val="8"/>
        <rFont val="Arial"/>
        <family val="2"/>
      </rPr>
      <t xml:space="preserve">
if yes: answer only points 1 - 14 and add certificate
</t>
    </r>
    <r>
      <rPr>
        <b/>
        <sz val="10"/>
        <rFont val="Arial"/>
        <family val="2"/>
      </rPr>
      <t>Bei nein: Punkte 1 - 36 beantworten</t>
    </r>
    <r>
      <rPr>
        <b/>
        <sz val="8"/>
        <rFont val="Arial"/>
        <family val="2"/>
      </rPr>
      <t xml:space="preserve">
if no: answer points 1 - 36</t>
    </r>
  </si>
  <si>
    <r>
      <t xml:space="preserve">Liegt ein System vor, mit dem das Thema "Food Fraud" (= Verfälschung von Rohstoffen und Materialien) geregelt wird?
</t>
    </r>
    <r>
      <rPr>
        <sz val="8"/>
        <rFont val="Arial"/>
        <family val="2"/>
      </rPr>
      <t>Is there a system for regulating the issue of "food fraud" (= adulteration of raw materials)?</t>
    </r>
  </si>
  <si>
    <r>
      <t xml:space="preserve">Enthält das System eine risikobasierte Schwachstellenbewertung von Rohstoffen und Materialien?
</t>
    </r>
    <r>
      <rPr>
        <sz val="8"/>
        <rFont val="Arial"/>
        <family val="2"/>
      </rPr>
      <t>Does the system contain a risk-based vulnerability assessment of raw materials and materials?</t>
    </r>
  </si>
  <si>
    <r>
      <t xml:space="preserve">Ist ein Maßnahmenplan, um Betrugsmöglichkeiten zu minimieren, vorhanden?
</t>
    </r>
    <r>
      <rPr>
        <sz val="8"/>
        <rFont val="Arial"/>
        <family val="2"/>
      </rPr>
      <t>Is there a plan of action to minimize the possibility of fraud?</t>
    </r>
  </si>
  <si>
    <r>
      <t xml:space="preserve">Zertifizierung nach BRC-IoP/ Ergebnis
</t>
    </r>
    <r>
      <rPr>
        <sz val="8"/>
        <rFont val="Arial"/>
        <family val="2"/>
      </rPr>
      <t xml:space="preserve">Certification by BRC/ Result
</t>
    </r>
    <r>
      <rPr>
        <b/>
        <sz val="10"/>
        <rFont val="Arial"/>
        <family val="2"/>
      </rPr>
      <t>Bei ja: nur Punkte 1 - 14 beantworten und Zertifikat beifügen.</t>
    </r>
    <r>
      <rPr>
        <b/>
        <sz val="8"/>
        <rFont val="Arial"/>
        <family val="2"/>
      </rPr>
      <t xml:space="preserve">
if yes: answer only points 1 - 14 and add certificate
</t>
    </r>
    <r>
      <rPr>
        <b/>
        <sz val="10"/>
        <rFont val="Arial"/>
        <family val="2"/>
      </rPr>
      <t>Bei nein: Punkte 1 - 36 beantworten</t>
    </r>
    <r>
      <rPr>
        <b/>
        <sz val="8"/>
        <rFont val="Arial"/>
        <family val="2"/>
      </rPr>
      <t xml:space="preserve">
if no: answer points 1 - 36</t>
    </r>
  </si>
  <si>
    <r>
      <t xml:space="preserve">Authentizität/ 
</t>
    </r>
    <r>
      <rPr>
        <b/>
        <sz val="11"/>
        <rFont val="Arial"/>
        <family val="2"/>
      </rPr>
      <t>Food Fraud</t>
    </r>
  </si>
  <si>
    <r>
      <t xml:space="preserve">Wird alternativ von anderen Standorten als den unter "Lieferantendaten" genannten Betrieb beliefert?
</t>
    </r>
    <r>
      <rPr>
        <sz val="8"/>
        <rFont val="Arial"/>
        <family val="2"/>
      </rPr>
      <t>Are the supplies delivered alternatively from other locations?</t>
    </r>
  </si>
  <si>
    <t>4.6</t>
  </si>
  <si>
    <t>3.11</t>
  </si>
  <si>
    <t>3.11.1</t>
  </si>
  <si>
    <t>3.11.2</t>
  </si>
  <si>
    <t>3.11.3</t>
  </si>
  <si>
    <t>3.11.4</t>
  </si>
  <si>
    <t>5.10</t>
  </si>
  <si>
    <t>3.11.5</t>
  </si>
  <si>
    <r>
      <t xml:space="preserve">Sind CCP´s identifiziert?                                      
Are </t>
    </r>
    <r>
      <rPr>
        <sz val="8"/>
        <rFont val="Arial"/>
        <family val="2"/>
      </rPr>
      <t xml:space="preserve">CCPs identified ? </t>
    </r>
  </si>
  <si>
    <t>6.8</t>
  </si>
  <si>
    <r>
      <t xml:space="preserve">Gehören Sie einem Konzern an?
</t>
    </r>
    <r>
      <rPr>
        <sz val="8"/>
        <rFont val="Arial"/>
        <family val="2"/>
      </rPr>
      <t>Do you belong to a group?</t>
    </r>
  </si>
  <si>
    <t>Werden Produktion-/ Prozessschritte an Dritte / extern vergeben?</t>
  </si>
  <si>
    <t>3.11.6</t>
  </si>
  <si>
    <t>3.11.7</t>
  </si>
  <si>
    <r>
      <t xml:space="preserve">Umwelt-Zertifizierung (z.B. nach 14001 oder EMAS) / Ergebnis
</t>
    </r>
    <r>
      <rPr>
        <sz val="8"/>
        <rFont val="Arial"/>
        <family val="2"/>
      </rPr>
      <t>Eco-Certification (for example by 14001 or EMAS) result?</t>
    </r>
  </si>
  <si>
    <t>5.11</t>
  </si>
  <si>
    <r>
      <t xml:space="preserve">Unternehmerische Gesellschaftsverantwortung (z.B. SA 8000, 26000, BSCI oder Sedex/Smeta) / Ergebnis
</t>
    </r>
    <r>
      <rPr>
        <sz val="8"/>
        <rFont val="Arial"/>
        <family val="2"/>
      </rPr>
      <t>Corporate Social Responsibility (for example by SA 8000, 26000, BSCI or Sedex/Smeta) results</t>
    </r>
  </si>
  <si>
    <r>
      <t xml:space="preserve">Erfolgt unverzüglich eine schriftliche Information an DMK über mögliche Änderungen oder Abweichungen der Produkte? 
</t>
    </r>
    <r>
      <rPr>
        <sz val="8"/>
        <rFont val="Arial"/>
        <family val="2"/>
      </rPr>
      <t>Takes place immediately a written statement to DMK on possible changes or variations of the products?</t>
    </r>
  </si>
  <si>
    <r>
      <t xml:space="preserve">Sind Sie mit einem Audit / einer Betriebsbesichtigung in Ihrem Hause nach entsprechender Absprache einverstanden?
</t>
    </r>
    <r>
      <rPr>
        <sz val="8"/>
        <rFont val="Arial"/>
        <family val="2"/>
      </rPr>
      <t>Do you agree with an audit / a site visit in your plant after appropriate request?</t>
    </r>
  </si>
  <si>
    <r>
      <t xml:space="preserve">Notfallkontakt (7T/24h) </t>
    </r>
    <r>
      <rPr>
        <sz val="9"/>
        <rFont val="Arial"/>
        <family val="2"/>
      </rPr>
      <t xml:space="preserve">(Name, Tel, Fax, E-mail)
</t>
    </r>
    <r>
      <rPr>
        <sz val="8"/>
        <rFont val="Arial"/>
        <family val="2"/>
      </rPr>
      <t>Emergency office (7d, 24h) (name, telephone, fax, e-mail):</t>
    </r>
  </si>
  <si>
    <r>
      <t xml:space="preserve">Haftungsgrenze (min. 5 Mio. €) bei Produkthaftungsversicherung :
</t>
    </r>
    <r>
      <rPr>
        <sz val="8"/>
        <rFont val="Arial"/>
        <family val="2"/>
      </rPr>
      <t xml:space="preserve">Limit (min. 5 m. €) of liability in case of product liability insurance:   </t>
    </r>
    <r>
      <rPr>
        <sz val="10"/>
        <rFont val="Arial"/>
        <family val="2"/>
      </rPr>
      <t xml:space="preserve">            </t>
    </r>
  </si>
  <si>
    <r>
      <t xml:space="preserve">Name des Unternehmens:
</t>
    </r>
    <r>
      <rPr>
        <sz val="8"/>
        <rFont val="Arial"/>
        <family val="2"/>
      </rPr>
      <t>Name of the company:</t>
    </r>
  </si>
  <si>
    <r>
      <t xml:space="preserve">Adresse (PLZ, Ort, Straße, Nummer):
</t>
    </r>
    <r>
      <rPr>
        <sz val="8"/>
        <rFont val="Arial"/>
        <family val="2"/>
      </rPr>
      <t>Address (postcode, town, street, number):</t>
    </r>
  </si>
  <si>
    <r>
      <t xml:space="preserve">Zentrale (Telefon, Fax, e-mail)
</t>
    </r>
    <r>
      <rPr>
        <sz val="8"/>
        <rFont val="Arial"/>
        <family val="2"/>
      </rPr>
      <t>Headquarters (telephone, fax, e-mail)</t>
    </r>
  </si>
  <si>
    <r>
      <t xml:space="preserve">Sind Gefährdungsanalyse und Risikoabschätzung vorhanden?                                                             
</t>
    </r>
    <r>
      <rPr>
        <sz val="8"/>
        <rFont val="Arial"/>
        <family val="2"/>
      </rPr>
      <t>Is a hazard analysis and risk assessment available?</t>
    </r>
  </si>
  <si>
    <r>
      <t xml:space="preserve">Liegen eindeutige Produktspezifikationen für das Endprodukt vor?                                                     
</t>
    </r>
    <r>
      <rPr>
        <sz val="8"/>
        <rFont val="Arial"/>
        <family val="2"/>
      </rPr>
      <t>Are clear product specifications available for the final product?</t>
    </r>
  </si>
  <si>
    <r>
      <t xml:space="preserve">Wird der Kunde bei Änderungen der Spezifikationen zeitnah verständigt?                                             
</t>
    </r>
    <r>
      <rPr>
        <sz val="8"/>
        <rFont val="Arial"/>
        <family val="2"/>
      </rPr>
      <t>Is the customer informed of specification changes in real time?</t>
    </r>
  </si>
  <si>
    <r>
      <t xml:space="preserve">Halten Sie alle umweltrelevanten Vorschriften und behördlichen Genehmigungsauflagen nachweislich ein?
</t>
    </r>
    <r>
      <rPr>
        <sz val="8"/>
        <rFont val="Arial"/>
        <family val="2"/>
      </rPr>
      <t>Do you comply with all regulations and official licensing requirements which are relevant to the environment as proven?</t>
    </r>
  </si>
  <si>
    <r>
      <t xml:space="preserve">Werden Aktivitäten in Hinblick auf Nachhaltiges Handeln vorgenommen?
</t>
    </r>
    <r>
      <rPr>
        <sz val="8"/>
        <rFont val="Arial"/>
        <family val="2"/>
      </rPr>
      <t>Are there activities undertaken in order to Sustainability?</t>
    </r>
  </si>
  <si>
    <r>
      <t xml:space="preserve">Ist aktuell eine Rückverfolgbarkeit in Ihrem Hause anhand der Material- und Lieferangaben von DMK-Unternehmen möglich?
</t>
    </r>
    <r>
      <rPr>
        <sz val="8"/>
        <rFont val="Arial"/>
        <family val="2"/>
      </rPr>
      <t>Is the traceability actually possible in your company on the basis of material and supplier details of the DMK Group?</t>
    </r>
  </si>
  <si>
    <r>
      <t xml:space="preserve">Werden regelmäßig Hygienebegehungen  durchgeführt?                                                                                                
</t>
    </r>
    <r>
      <rPr>
        <sz val="8"/>
        <rFont val="Arial"/>
        <family val="2"/>
      </rPr>
      <t>Are hygiene inspections carried out regularly?</t>
    </r>
  </si>
  <si>
    <r>
      <t xml:space="preserve">Wird eine negative Beeinflussung von Produkten durch erkrankte Mitarbeiter ausgeschlossen?
</t>
    </r>
    <r>
      <rPr>
        <sz val="8"/>
        <rFont val="Arial"/>
        <family val="2"/>
      </rPr>
      <t>Is a negative influence of diseased employees on products impossible?</t>
    </r>
  </si>
  <si>
    <r>
      <t xml:space="preserve">Wird eine negative Beeinflussung der Produkte durch Lagerhaltung und Transport verhindert?
</t>
    </r>
    <r>
      <rPr>
        <sz val="8"/>
        <rFont val="Arial"/>
        <family val="2"/>
      </rPr>
      <t>Is a negative influence of products through storage and transport prevented?</t>
    </r>
  </si>
  <si>
    <r>
      <t xml:space="preserve">Gibt es festgelegte Reinigungspläne?
</t>
    </r>
    <r>
      <rPr>
        <sz val="8"/>
        <rFont val="Arial"/>
        <family val="2"/>
      </rPr>
      <t>Do cleaning plans exist?</t>
    </r>
  </si>
  <si>
    <r>
      <t xml:space="preserve">Gibt es einen festgelegten Wartungsplan?
</t>
    </r>
    <r>
      <rPr>
        <sz val="8"/>
        <rFont val="Arial"/>
        <family val="2"/>
      </rPr>
      <t>Does a service plan exist?</t>
    </r>
  </si>
  <si>
    <r>
      <t xml:space="preserve">Verhindern Personalwege und Materialfluß eine negative Beeinflussung des Produktes (Crosskontamination)?
</t>
    </r>
    <r>
      <rPr>
        <sz val="8"/>
        <rFont val="Arial"/>
        <family val="2"/>
      </rPr>
      <t xml:space="preserve">Do personnel routes and material flow prevent negative influence of products (cross-contamination)?          </t>
    </r>
    <r>
      <rPr>
        <sz val="10"/>
        <rFont val="Arial"/>
        <family val="2"/>
      </rPr>
      <t xml:space="preserve">                           </t>
    </r>
  </si>
  <si>
    <r>
      <t xml:space="preserve">Ist ein Verfahren bei Überschreitung von Grenzwerten festgelegt ?
</t>
    </r>
    <r>
      <rPr>
        <sz val="8"/>
        <rFont val="Arial"/>
        <family val="2"/>
      </rPr>
      <t>Is a process stipulated in case threshold values are exceeded?</t>
    </r>
  </si>
  <si>
    <r>
      <t xml:space="preserve">Ist ein dokumentiertes Verfahren zum Reklamationsmanagement festgelegt ?
</t>
    </r>
    <r>
      <rPr>
        <sz val="8"/>
        <rFont val="Arial"/>
        <family val="2"/>
      </rPr>
      <t>Has a documented process for complaints management been stipulated?</t>
    </r>
  </si>
  <si>
    <r>
      <t xml:space="preserve">Werden die Maßnahmen verfolgt ?
</t>
    </r>
    <r>
      <rPr>
        <sz val="8"/>
        <rFont val="Arial"/>
        <family val="2"/>
      </rPr>
      <t>Are measures tracked?</t>
    </r>
  </si>
  <si>
    <r>
      <t xml:space="preserve">Werden die verwendeten Prüfmittel verwaltet und regelmäßig überprüft ?
</t>
    </r>
    <r>
      <rPr>
        <sz val="8"/>
        <rFont val="Arial"/>
        <family val="2"/>
      </rPr>
      <t>Are applied testing equipment administered and checked regularly?</t>
    </r>
  </si>
  <si>
    <r>
      <t xml:space="preserve">Werden Inprozess-Kontrollen durchgeführt ?
</t>
    </r>
    <r>
      <rPr>
        <sz val="8"/>
        <rFont val="Arial"/>
        <family val="2"/>
      </rPr>
      <t>Are there documented in-process control checks performed?</t>
    </r>
  </si>
  <si>
    <r>
      <t xml:space="preserve">Ist die Rückverfolgbarkeit von eingesetzten Roh- und Zusatzstoffen gewährleistet ?
</t>
    </r>
    <r>
      <rPr>
        <sz val="8"/>
        <rFont val="Arial"/>
        <family val="2"/>
      </rPr>
      <t>Do you ensure traceability of applied raw material and additives?</t>
    </r>
  </si>
  <si>
    <r>
      <t xml:space="preserve">Ist ein dokumentiertes Verfahren für einen Rückruf festgelegt ?                                                       
</t>
    </r>
    <r>
      <rPr>
        <sz val="8"/>
        <rFont val="Arial"/>
        <family val="2"/>
      </rPr>
      <t>Has a documented process been stipulated for a recall?</t>
    </r>
  </si>
  <si>
    <r>
      <t xml:space="preserve">Umwelt-Zertifizierung (z.B. nach 14001 oder EMAS) / Ergebnis
</t>
    </r>
    <r>
      <rPr>
        <sz val="8"/>
        <rFont val="Arial"/>
        <family val="2"/>
      </rPr>
      <t>Eco-Certification (e.g. by ISO 14001 or EMAS) / Result</t>
    </r>
  </si>
  <si>
    <t>Aufbewahrung ausgefülltes Formular: 3 Jahre, Bremen GBS Corp. Proc. (Excel), SAP/ DVS (pdf)</t>
  </si>
  <si>
    <r>
      <t xml:space="preserve">Gelieferte Material-Kategorie:
</t>
    </r>
    <r>
      <rPr>
        <i/>
        <sz val="8"/>
        <rFont val="Arial"/>
        <family val="2"/>
      </rPr>
      <t>Material category supplied:</t>
    </r>
  </si>
  <si>
    <r>
      <t>Wenn ja, ist der Fremdhersteller gemäß BRC/IoP und / oder FSSC 22000 zertifiziert?</t>
    </r>
    <r>
      <rPr>
        <sz val="8"/>
        <rFont val="Arial"/>
        <family val="2"/>
      </rPr>
      <t xml:space="preserve"> 
If yes, is the third-party manufacturer certified according to IFS and / or BRC and / or FSSC 22000? </t>
    </r>
  </si>
  <si>
    <r>
      <t>Wenn ja, ist der Fremdhersteller gemäß IFS und / oder BRC und / oder FSSC 22000 zertifiziert?</t>
    </r>
    <r>
      <rPr>
        <sz val="8"/>
        <rFont val="Arial"/>
        <family val="2"/>
      </rPr>
      <t xml:space="preserve"> 
If yes, is the third-party manufacturer certified according to IFS and / or BRC and / or FSSC 22000? </t>
    </r>
  </si>
  <si>
    <r>
      <t xml:space="preserve">Verwaltungssitz Konzern (Name, Adresse):
</t>
    </r>
    <r>
      <rPr>
        <sz val="8"/>
        <rFont val="Arial"/>
        <family val="2"/>
      </rPr>
      <t>Head office (name, address):</t>
    </r>
  </si>
  <si>
    <r>
      <t xml:space="preserve"> Wenn ja, von welchem? 
</t>
    </r>
    <r>
      <rPr>
        <sz val="8"/>
        <rFont val="Arial"/>
        <family val="2"/>
      </rPr>
      <t xml:space="preserve"> If yes, ? Which one?</t>
    </r>
  </si>
  <si>
    <r>
      <t xml:space="preserve">Gelten alle in diesem Dokument getätigten Angaben/ Antworten (Punkt 5-37) für alle Standorte? 
</t>
    </r>
    <r>
      <rPr>
        <sz val="8"/>
        <rFont val="Arial"/>
        <family val="2"/>
      </rPr>
      <t xml:space="preserve">Does all the information/answers given in this document (points 5-37) apply to all sites? </t>
    </r>
  </si>
  <si>
    <r>
      <t xml:space="preserve">Wenn nein, dann ist für jeden Standort ein separates Formular "Lieferanten Selbstauditierungsbogen direkte Materialien" auszufüllen.
</t>
    </r>
    <r>
      <rPr>
        <sz val="8"/>
        <rFont val="Arial"/>
        <family val="2"/>
      </rPr>
      <t>If no, then a separate form "Suppliers self-auditing form direct materials" must be completed for each location.</t>
    </r>
  </si>
  <si>
    <r>
      <t xml:space="preserve">Werden die von DMK bezogenen Materialien durch Dritte (Werklohnhersteller) hergestellt?
</t>
    </r>
    <r>
      <rPr>
        <sz val="8"/>
        <rFont val="Arial"/>
        <family val="2"/>
      </rPr>
      <t xml:space="preserve">Are the materials purchased from DMK manufactured by third parties (subcontractors)? </t>
    </r>
  </si>
  <si>
    <r>
      <t xml:space="preserve"> Wenn ja, welche Materialien? 
</t>
    </r>
    <r>
      <rPr>
        <sz val="8"/>
        <rFont val="Arial"/>
        <family val="2"/>
      </rPr>
      <t xml:space="preserve"> If yes, which materials?</t>
    </r>
  </si>
  <si>
    <r>
      <t xml:space="preserve"> Wenn ja, welche Produktions-/ Prozessschritte? 
</t>
    </r>
    <r>
      <rPr>
        <sz val="8"/>
        <rFont val="Arial"/>
        <family val="2"/>
      </rPr>
      <t xml:space="preserve"> If yes, which Production/process steps?</t>
    </r>
  </si>
  <si>
    <r>
      <t xml:space="preserve"> Wenn ja, welcher Standard? 
</t>
    </r>
    <r>
      <rPr>
        <sz val="8"/>
        <rFont val="Arial"/>
        <family val="2"/>
      </rPr>
      <t xml:space="preserve"> If yes, ? Which one?</t>
    </r>
  </si>
  <si>
    <r>
      <t>Wenn ja, liegt Ihnen das HACCP-Konzept dieses Fremdherstellers vor?</t>
    </r>
    <r>
      <rPr>
        <sz val="8"/>
        <rFont val="Arial"/>
        <family val="2"/>
      </rPr>
      <t xml:space="preserve"> 
If yes, is the HACCP concept of this subcontractor available?</t>
    </r>
  </si>
  <si>
    <r>
      <t xml:space="preserve">Wenn ja, wie überwachen Sie Ihren Fremdhersteller?
</t>
    </r>
    <r>
      <rPr>
        <sz val="8"/>
        <rFont val="Arial"/>
        <family val="2"/>
      </rPr>
      <t>How do you monitor your subcontractor?</t>
    </r>
  </si>
  <si>
    <r>
      <t xml:space="preserve">Gelieferte Material-Kategorie:
</t>
    </r>
    <r>
      <rPr>
        <sz val="8"/>
        <rFont val="Arial"/>
        <family val="2"/>
      </rPr>
      <t>Material category supplied:</t>
    </r>
  </si>
  <si>
    <r>
      <t xml:space="preserve">Wie lautet der Geltungsbereich / Scope Ihres IFS und/ oder BRC und/ oder FSSC 22000 Zertifikates?
</t>
    </r>
    <r>
      <rPr>
        <sz val="8"/>
        <rFont val="Arial"/>
        <family val="2"/>
      </rPr>
      <t>What is the scope of your IFS and/or BRC and/or FSSC 22000 certificate?</t>
    </r>
  </si>
  <si>
    <r>
      <t xml:space="preserve">Werden alle durch Sie an DMK gelieferten Materialien durch wenigstens ein Zertifkat abgedeckt?
</t>
    </r>
    <r>
      <rPr>
        <sz val="8"/>
        <rFont val="Arial"/>
        <family val="2"/>
      </rPr>
      <t>Are all materials supplied by you to DMK covered by the certificate?</t>
    </r>
  </si>
  <si>
    <r>
      <t xml:space="preserve">Arbeitssicherheits-Zertifizierung (z.B. nach OHSAS 18001, 45001 oder SCC) / Ergebnis
</t>
    </r>
    <r>
      <rPr>
        <sz val="8"/>
        <rFont val="Arial"/>
        <family val="2"/>
      </rPr>
      <t>Occupational safety certification (e.g. by OHSAS 18001, 45001 or SCC) / Result</t>
    </r>
  </si>
  <si>
    <r>
      <t xml:space="preserve">Energiemanagement-Zertifizierung (z.B. nach DIN ISO 50001 oder DIN EN 16247-1) / Ergebnis
</t>
    </r>
    <r>
      <rPr>
        <sz val="8"/>
        <rFont val="Arial"/>
        <family val="2"/>
      </rPr>
      <t>Energymanagement-certification (e.g. by ISO 50001 or DIN EN 16247-1) / Result</t>
    </r>
  </si>
  <si>
    <r>
      <t>Wenn ja, welche? 
If yes, w</t>
    </r>
    <r>
      <rPr>
        <sz val="8"/>
        <rFont val="Arial"/>
        <family val="2"/>
      </rPr>
      <t>hich?</t>
    </r>
  </si>
  <si>
    <r>
      <t xml:space="preserve">Wird das Produkt(e) in einem Bulk-Fahrzeug bzw. Tankzug transportiert/ geliefert?
Wenn ja, bestättigen Sie die Einhaltung unserer  "Vorgaben zur Belieferung mit Bulk-Fahrzeugen" aus, welche auf der Internetseite https://www.dmk.de/lieferanteninfo/ zu finden sind.
</t>
    </r>
    <r>
      <rPr>
        <sz val="8"/>
        <rFont val="Arial"/>
        <family val="2"/>
      </rPr>
      <t>Is the product(s) transported/delivered in a bulk vehicle or tank truck?
If so, do you confirm the compliance of our "Requirements for the supply of bulk vehicles", which can be found on the website https://www.dmk.de/lieferanteninfo/</t>
    </r>
  </si>
  <si>
    <t>Im Falle eines Zertifikatsverlustes ist  dies umgehend dem zuständigen Category Buyer mitzuteilen.
In the event of a loss of certificate, this must be reported immediately to the responsible category buyer.</t>
  </si>
  <si>
    <r>
      <t>Wenn ja, liegt Ihnen eine Gefahrenanalyse dieses Fremdherstellers vor?</t>
    </r>
    <r>
      <rPr>
        <sz val="8"/>
        <rFont val="Arial"/>
        <family val="2"/>
      </rPr>
      <t xml:space="preserve"> 
If yes, is a hazard analysis of this subcontractor available?</t>
    </r>
  </si>
  <si>
    <r>
      <t xml:space="preserve">Wie lautet der Geltungsbereich / Scope Ihres BRC/IoP und/ oder FSSC 22000 Zertifikates?
</t>
    </r>
    <r>
      <rPr>
        <sz val="8"/>
        <rFont val="Arial"/>
        <family val="2"/>
      </rPr>
      <t>What is the scope of your BRC/IoP and/or FSSC 22000 certificate?</t>
    </r>
  </si>
  <si>
    <r>
      <t xml:space="preserve">Arbeitssicherheits-Zertifizierung (z.B. nach OHSAS 18001, 45001 oder SCC) / Ergebnis
</t>
    </r>
    <r>
      <rPr>
        <sz val="8"/>
        <rFont val="Arial"/>
        <family val="2"/>
      </rPr>
      <t>Occupational safety certification (for example by OHSAS 18001, 45001 or SCC) result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</si>
</sst>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i/>
      <sz val="10"/>
      <color rgb="FF0070C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2"/>
      <color rgb="FF00B0F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gradientFill degree="90">
        <stop position="0">
          <color rgb="FF0066FF"/>
        </stop>
        <stop position="1">
          <color rgb="FF92D050"/>
        </stop>
      </gradient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07">
    <xf numFmtId="0" fontId="0" fillId="0" borderId="0" xfId="0"/>
    <xf numFmtId="0" fontId="3" fillId="0" borderId="0" xfId="2" applyAlignment="1">
      <alignment horizontal="center"/>
    </xf>
    <xf numFmtId="0" fontId="3" fillId="0" borderId="0" xfId="2"/>
    <xf numFmtId="0" fontId="5" fillId="3" borderId="11" xfId="2" applyFont="1" applyFill="1" applyBorder="1" applyAlignment="1" applyProtection="1">
      <alignment horizontal="left" vertical="top" wrapText="1"/>
      <protection hidden="1"/>
    </xf>
    <xf numFmtId="0" fontId="5" fillId="4" borderId="1" xfId="2" applyFont="1" applyFill="1" applyBorder="1" applyAlignment="1">
      <alignment horizontal="center" vertical="center" wrapText="1"/>
    </xf>
    <xf numFmtId="0" fontId="8" fillId="3" borderId="11" xfId="2" applyFont="1" applyFill="1" applyBorder="1" applyAlignment="1" applyProtection="1">
      <alignment horizontal="left" vertical="top" wrapText="1"/>
      <protection hidden="1"/>
    </xf>
    <xf numFmtId="0" fontId="5" fillId="3" borderId="1" xfId="2" applyFont="1" applyFill="1" applyBorder="1" applyAlignment="1" applyProtection="1">
      <alignment horizontal="left" vertical="top" wrapText="1"/>
      <protection hidden="1"/>
    </xf>
    <xf numFmtId="0" fontId="8" fillId="3" borderId="12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49" fontId="3" fillId="0" borderId="11" xfId="2" applyNumberFormat="1" applyBorder="1" applyAlignment="1" applyProtection="1">
      <alignment horizontal="left" vertical="top" wrapText="1"/>
      <protection hidden="1"/>
    </xf>
    <xf numFmtId="0" fontId="3" fillId="0" borderId="1" xfId="2" applyBorder="1" applyAlignment="1" applyProtection="1">
      <alignment horizontal="left" vertical="top" wrapText="1"/>
      <protection hidden="1"/>
    </xf>
    <xf numFmtId="49" fontId="5" fillId="0" borderId="11" xfId="2" applyNumberFormat="1" applyFont="1" applyBorder="1" applyAlignment="1" applyProtection="1">
      <alignment horizontal="left" vertical="top" wrapText="1"/>
      <protection hidden="1"/>
    </xf>
    <xf numFmtId="0" fontId="3" fillId="3" borderId="1" xfId="2" applyFill="1" applyBorder="1" applyAlignment="1" applyProtection="1">
      <alignment horizontal="left" vertical="top" wrapText="1"/>
      <protection hidden="1"/>
    </xf>
    <xf numFmtId="0" fontId="11" fillId="3" borderId="12" xfId="2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 wrapText="1"/>
    </xf>
    <xf numFmtId="0" fontId="3" fillId="0" borderId="1" xfId="2" applyBorder="1" applyAlignment="1" applyProtection="1">
      <alignment horizontal="center" vertical="center" wrapText="1"/>
      <protection locked="0"/>
    </xf>
    <xf numFmtId="0" fontId="3" fillId="0" borderId="1" xfId="2" applyBorder="1" applyAlignment="1" applyProtection="1">
      <alignment vertical="top" wrapText="1"/>
      <protection hidden="1"/>
    </xf>
    <xf numFmtId="0" fontId="8" fillId="3" borderId="1" xfId="2" applyFont="1" applyFill="1" applyBorder="1" applyAlignment="1" applyProtection="1">
      <alignment horizontal="left" vertical="top" wrapText="1"/>
      <protection hidden="1"/>
    </xf>
    <xf numFmtId="0" fontId="3" fillId="5" borderId="1" xfId="2" applyFill="1" applyBorder="1" applyAlignment="1" applyProtection="1">
      <alignment horizontal="center" vertical="center" wrapText="1"/>
      <protection locked="0"/>
    </xf>
    <xf numFmtId="0" fontId="5" fillId="3" borderId="12" xfId="2" applyFont="1" applyFill="1" applyBorder="1" applyAlignment="1" applyProtection="1">
      <alignment horizontal="center" vertical="center" wrapText="1"/>
      <protection hidden="1"/>
    </xf>
    <xf numFmtId="0" fontId="5" fillId="3" borderId="1" xfId="2" applyFont="1" applyFill="1" applyBorder="1" applyAlignment="1" applyProtection="1">
      <alignment horizontal="center" vertical="center" wrapText="1"/>
      <protection hidden="1"/>
    </xf>
    <xf numFmtId="0" fontId="6" fillId="0" borderId="0" xfId="2" applyFont="1" applyAlignment="1">
      <alignment horizontal="center" vertical="top"/>
    </xf>
    <xf numFmtId="0" fontId="3" fillId="0" borderId="0" xfId="2" applyAlignment="1">
      <alignment horizontal="left" vertical="top"/>
    </xf>
    <xf numFmtId="0" fontId="3" fillId="0" borderId="0" xfId="2" applyAlignment="1">
      <alignment horizontal="left" vertical="top" wrapText="1"/>
    </xf>
    <xf numFmtId="0" fontId="3" fillId="0" borderId="0" xfId="2" applyAlignment="1">
      <alignment horizontal="center" vertical="center"/>
    </xf>
    <xf numFmtId="0" fontId="5" fillId="4" borderId="15" xfId="2" applyFont="1" applyFill="1" applyBorder="1" applyAlignment="1" applyProtection="1">
      <alignment horizontal="center" vertical="center" wrapText="1"/>
      <protection hidden="1"/>
    </xf>
    <xf numFmtId="0" fontId="5" fillId="4" borderId="1" xfId="2" applyFont="1" applyFill="1" applyBorder="1" applyAlignment="1" applyProtection="1">
      <alignment horizontal="center" vertical="center" wrapText="1"/>
      <protection hidden="1"/>
    </xf>
    <xf numFmtId="0" fontId="3" fillId="0" borderId="0" xfId="2" applyProtection="1">
      <protection hidden="1"/>
    </xf>
    <xf numFmtId="0" fontId="3" fillId="3" borderId="1" xfId="2" applyFill="1" applyBorder="1" applyAlignment="1" applyProtection="1">
      <alignment horizontal="center" vertical="center" wrapText="1"/>
      <protection hidden="1"/>
    </xf>
    <xf numFmtId="0" fontId="3" fillId="0" borderId="0" xfId="2" applyAlignment="1" applyProtection="1">
      <alignment horizontal="left" vertical="top" wrapText="1"/>
      <protection hidden="1"/>
    </xf>
    <xf numFmtId="0" fontId="3" fillId="0" borderId="0" xfId="2" applyAlignment="1" applyProtection="1">
      <alignment horizontal="center" vertical="center" wrapText="1"/>
      <protection hidden="1"/>
    </xf>
    <xf numFmtId="0" fontId="3" fillId="0" borderId="0" xfId="2" applyAlignment="1" applyProtection="1">
      <alignment wrapText="1"/>
      <protection hidden="1"/>
    </xf>
    <xf numFmtId="0" fontId="3" fillId="0" borderId="0" xfId="2" applyAlignment="1" applyProtection="1">
      <alignment horizontal="left" vertical="top"/>
      <protection hidden="1"/>
    </xf>
    <xf numFmtId="0" fontId="3" fillId="0" borderId="0" xfId="2" applyAlignment="1" applyProtection="1">
      <alignment horizontal="center" vertical="center"/>
      <protection hidden="1"/>
    </xf>
    <xf numFmtId="0" fontId="5" fillId="4" borderId="11" xfId="2" applyFont="1" applyFill="1" applyBorder="1" applyAlignment="1" applyProtection="1">
      <alignment horizontal="center" vertical="center" wrapText="1"/>
      <protection hidden="1"/>
    </xf>
    <xf numFmtId="16" fontId="3" fillId="0" borderId="1" xfId="2" applyNumberFormat="1" applyBorder="1" applyAlignment="1" applyProtection="1">
      <alignment horizontal="left" vertical="top" wrapText="1"/>
      <protection hidden="1"/>
    </xf>
    <xf numFmtId="0" fontId="3" fillId="6" borderId="1" xfId="2" applyFill="1" applyBorder="1" applyAlignment="1">
      <alignment horizontal="center" vertical="center"/>
    </xf>
    <xf numFmtId="0" fontId="3" fillId="6" borderId="12" xfId="2" applyFill="1" applyBorder="1" applyAlignment="1">
      <alignment horizontal="center" vertical="center"/>
    </xf>
    <xf numFmtId="49" fontId="3" fillId="0" borderId="14" xfId="2" applyNumberFormat="1" applyBorder="1" applyAlignment="1" applyProtection="1">
      <alignment vertical="top" wrapText="1"/>
      <protection hidden="1"/>
    </xf>
    <xf numFmtId="0" fontId="3" fillId="5" borderId="1" xfId="2" applyFill="1" applyBorder="1" applyAlignment="1" applyProtection="1">
      <alignment vertical="center" wrapText="1"/>
      <protection locked="0"/>
    </xf>
    <xf numFmtId="0" fontId="3" fillId="0" borderId="1" xfId="2" applyBorder="1" applyAlignment="1" applyProtection="1">
      <alignment vertical="center" wrapText="1"/>
      <protection locked="0"/>
    </xf>
    <xf numFmtId="0" fontId="3" fillId="0" borderId="1" xfId="2" applyBorder="1"/>
    <xf numFmtId="0" fontId="5" fillId="3" borderId="17" xfId="2" applyFont="1" applyFill="1" applyBorder="1" applyAlignment="1" applyProtection="1">
      <alignment vertical="top" wrapText="1"/>
      <protection hidden="1"/>
    </xf>
    <xf numFmtId="0" fontId="8" fillId="3" borderId="17" xfId="2" applyFont="1" applyFill="1" applyBorder="1" applyAlignment="1" applyProtection="1">
      <alignment vertical="top" wrapText="1"/>
      <protection hidden="1"/>
    </xf>
    <xf numFmtId="49" fontId="16" fillId="0" borderId="1" xfId="2" applyNumberFormat="1" applyFont="1" applyBorder="1" applyAlignment="1" applyProtection="1">
      <alignment horizontal="left" vertical="top" wrapText="1"/>
      <protection hidden="1"/>
    </xf>
    <xf numFmtId="49" fontId="3" fillId="0" borderId="1" xfId="2" applyNumberFormat="1" applyBorder="1" applyAlignment="1" applyProtection="1">
      <alignment horizontal="left" vertical="top" wrapText="1"/>
      <protection hidden="1"/>
    </xf>
    <xf numFmtId="0" fontId="3" fillId="7" borderId="0" xfId="2" applyFill="1" applyAlignment="1">
      <alignment horizontal="center"/>
    </xf>
    <xf numFmtId="0" fontId="3" fillId="7" borderId="0" xfId="2" applyFill="1"/>
    <xf numFmtId="0" fontId="3" fillId="7" borderId="1" xfId="2" applyFill="1" applyBorder="1" applyAlignment="1">
      <alignment horizontal="center" vertical="center"/>
    </xf>
    <xf numFmtId="0" fontId="5" fillId="7" borderId="15" xfId="2" applyFont="1" applyFill="1" applyBorder="1" applyAlignment="1">
      <alignment horizontal="center" vertical="center" wrapText="1"/>
    </xf>
    <xf numFmtId="0" fontId="5" fillId="7" borderId="1" xfId="2" applyFont="1" applyFill="1" applyBorder="1" applyAlignment="1">
      <alignment horizontal="center" vertical="center" wrapText="1"/>
    </xf>
    <xf numFmtId="0" fontId="12" fillId="7" borderId="15" xfId="2" applyFont="1" applyFill="1" applyBorder="1" applyAlignment="1">
      <alignment horizontal="center" vertical="center" wrapText="1"/>
    </xf>
    <xf numFmtId="0" fontId="12" fillId="7" borderId="1" xfId="2" applyFont="1" applyFill="1" applyBorder="1" applyAlignment="1">
      <alignment horizontal="center" vertical="center" wrapText="1"/>
    </xf>
    <xf numFmtId="0" fontId="3" fillId="8" borderId="0" xfId="2" applyFill="1" applyAlignment="1">
      <alignment horizontal="center"/>
    </xf>
    <xf numFmtId="0" fontId="3" fillId="8" borderId="0" xfId="2" applyFill="1"/>
    <xf numFmtId="0" fontId="3" fillId="8" borderId="1" xfId="2" applyFill="1" applyBorder="1" applyAlignment="1">
      <alignment horizontal="center" vertical="center"/>
    </xf>
    <xf numFmtId="0" fontId="3" fillId="4" borderId="0" xfId="2" applyFill="1" applyAlignment="1">
      <alignment horizontal="center"/>
    </xf>
    <xf numFmtId="0" fontId="3" fillId="4" borderId="0" xfId="2" applyFill="1"/>
    <xf numFmtId="0" fontId="3" fillId="4" borderId="1" xfId="2" applyFill="1" applyBorder="1" applyAlignment="1">
      <alignment horizontal="center" vertical="center"/>
    </xf>
    <xf numFmtId="0" fontId="3" fillId="8" borderId="10" xfId="2" applyFill="1" applyBorder="1" applyAlignment="1">
      <alignment horizontal="center"/>
    </xf>
    <xf numFmtId="0" fontId="3" fillId="8" borderId="10" xfId="2" applyFill="1" applyBorder="1"/>
    <xf numFmtId="0" fontId="5" fillId="8" borderId="10" xfId="2" applyFont="1" applyFill="1" applyBorder="1" applyAlignment="1">
      <alignment horizontal="center" vertical="center" wrapText="1"/>
    </xf>
    <xf numFmtId="0" fontId="5" fillId="8" borderId="13" xfId="2" applyFont="1" applyFill="1" applyBorder="1" applyAlignment="1">
      <alignment horizontal="center" vertical="center" wrapText="1"/>
    </xf>
    <xf numFmtId="0" fontId="3" fillId="8" borderId="12" xfId="2" applyFill="1" applyBorder="1" applyAlignment="1">
      <alignment horizontal="center" vertical="center"/>
    </xf>
    <xf numFmtId="0" fontId="3" fillId="8" borderId="1" xfId="2" applyFill="1" applyBorder="1"/>
    <xf numFmtId="0" fontId="3" fillId="4" borderId="12" xfId="2" applyFill="1" applyBorder="1" applyAlignment="1">
      <alignment horizontal="center" vertical="center"/>
    </xf>
    <xf numFmtId="0" fontId="3" fillId="8" borderId="0" xfId="2" applyFill="1" applyAlignment="1">
      <alignment horizontal="center" vertical="center"/>
    </xf>
    <xf numFmtId="0" fontId="3" fillId="8" borderId="1" xfId="2" applyFill="1" applyBorder="1" applyAlignment="1" applyProtection="1">
      <alignment horizontal="center" vertical="center"/>
      <protection hidden="1"/>
    </xf>
    <xf numFmtId="0" fontId="19" fillId="0" borderId="1" xfId="2" applyFont="1" applyBorder="1" applyAlignment="1" applyProtection="1">
      <alignment horizontal="left" vertical="top" wrapText="1"/>
      <protection hidden="1"/>
    </xf>
    <xf numFmtId="0" fontId="3" fillId="0" borderId="17" xfId="2" applyBorder="1" applyAlignment="1" applyProtection="1">
      <alignment horizontal="left" vertical="top" wrapText="1"/>
      <protection hidden="1"/>
    </xf>
    <xf numFmtId="49" fontId="3" fillId="0" borderId="17" xfId="2" applyNumberFormat="1" applyBorder="1" applyAlignment="1" applyProtection="1">
      <alignment horizontal="left" vertical="top" wrapText="1"/>
      <protection hidden="1"/>
    </xf>
    <xf numFmtId="0" fontId="2" fillId="2" borderId="2" xfId="1" applyFill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2" fillId="0" borderId="6" xfId="1" applyBorder="1" applyAlignment="1">
      <alignment horizontal="center" vertical="center" wrapText="1"/>
    </xf>
    <xf numFmtId="0" fontId="2" fillId="2" borderId="4" xfId="1" applyFill="1" applyBorder="1" applyAlignment="1">
      <alignment horizontal="center" vertical="center" wrapText="1"/>
    </xf>
    <xf numFmtId="0" fontId="2" fillId="2" borderId="3" xfId="1" applyFill="1" applyBorder="1" applyAlignment="1">
      <alignment horizontal="center" vertical="center" wrapText="1"/>
    </xf>
    <xf numFmtId="0" fontId="2" fillId="2" borderId="5" xfId="1" applyFill="1" applyBorder="1" applyAlignment="1">
      <alignment horizontal="center" vertical="center" wrapText="1"/>
    </xf>
    <xf numFmtId="0" fontId="2" fillId="2" borderId="0" xfId="1" applyFill="1" applyBorder="1" applyAlignment="1">
      <alignment horizontal="center" vertical="center" wrapText="1"/>
    </xf>
    <xf numFmtId="0" fontId="2" fillId="2" borderId="6" xfId="1" applyFill="1" applyBorder="1" applyAlignment="1">
      <alignment horizontal="center" vertical="center" wrapText="1"/>
    </xf>
    <xf numFmtId="0" fontId="2" fillId="0" borderId="7" xfId="1" applyBorder="1" applyAlignment="1">
      <alignment horizontal="center" vertical="center" wrapText="1"/>
    </xf>
    <xf numFmtId="0" fontId="2" fillId="0" borderId="8" xfId="1" applyBorder="1" applyAlignment="1">
      <alignment horizontal="center" vertical="center" wrapText="1"/>
    </xf>
    <xf numFmtId="0" fontId="2" fillId="2" borderId="7" xfId="1" applyFill="1" applyBorder="1" applyAlignment="1">
      <alignment horizontal="center" vertical="center" wrapText="1"/>
    </xf>
    <xf numFmtId="0" fontId="2" fillId="2" borderId="9" xfId="1" applyFill="1" applyBorder="1" applyAlignment="1">
      <alignment horizontal="center" vertical="center" wrapText="1"/>
    </xf>
    <xf numFmtId="0" fontId="2" fillId="2" borderId="8" xfId="1" applyFill="1" applyBorder="1" applyAlignment="1">
      <alignment horizontal="center" vertical="center" wrapText="1"/>
    </xf>
    <xf numFmtId="0" fontId="21" fillId="0" borderId="1" xfId="2" applyFont="1" applyBorder="1" applyAlignment="1" applyProtection="1">
      <alignment horizontal="center" vertical="top" wrapText="1"/>
      <protection hidden="1"/>
    </xf>
    <xf numFmtId="0" fontId="3" fillId="0" borderId="0" xfId="2" applyAlignment="1">
      <alignment horizontal="center" vertical="top" wrapText="1"/>
    </xf>
    <xf numFmtId="0" fontId="3" fillId="0" borderId="1" xfId="2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left" vertical="center" wrapText="1"/>
      <protection hidden="1"/>
    </xf>
    <xf numFmtId="0" fontId="6" fillId="0" borderId="1" xfId="2" applyFont="1" applyBorder="1" applyAlignment="1" applyProtection="1">
      <alignment horizontal="left" vertical="center" wrapText="1"/>
      <protection hidden="1"/>
    </xf>
    <xf numFmtId="0" fontId="3" fillId="3" borderId="1" xfId="2" applyFill="1" applyBorder="1" applyAlignment="1" applyProtection="1">
      <alignment horizontal="center" vertical="top" wrapText="1"/>
      <protection hidden="1"/>
    </xf>
    <xf numFmtId="0" fontId="3" fillId="0" borderId="11" xfId="2" applyBorder="1" applyAlignment="1" applyProtection="1">
      <alignment horizontal="center" vertical="center" wrapText="1"/>
      <protection locked="0"/>
    </xf>
    <xf numFmtId="0" fontId="3" fillId="0" borderId="15" xfId="2" applyBorder="1" applyAlignment="1" applyProtection="1">
      <alignment horizontal="center" vertical="center" wrapText="1"/>
      <protection locked="0"/>
    </xf>
    <xf numFmtId="0" fontId="3" fillId="0" borderId="12" xfId="2" applyBorder="1" applyAlignment="1" applyProtection="1">
      <alignment horizontal="center" vertical="center" wrapText="1"/>
      <protection locked="0"/>
    </xf>
    <xf numFmtId="0" fontId="3" fillId="5" borderId="11" xfId="2" applyFill="1" applyBorder="1" applyAlignment="1" applyProtection="1">
      <alignment horizontal="center" vertical="center" wrapText="1"/>
      <protection locked="0"/>
    </xf>
    <xf numFmtId="0" fontId="3" fillId="5" borderId="15" xfId="2" applyFill="1" applyBorder="1" applyAlignment="1" applyProtection="1">
      <alignment horizontal="center" vertical="center" wrapText="1"/>
      <protection locked="0"/>
    </xf>
    <xf numFmtId="0" fontId="3" fillId="5" borderId="12" xfId="2" applyFill="1" applyBorder="1" applyAlignment="1" applyProtection="1">
      <alignment horizontal="center" vertical="center" wrapText="1"/>
      <protection locked="0"/>
    </xf>
    <xf numFmtId="0" fontId="11" fillId="0" borderId="16" xfId="2" applyFont="1" applyBorder="1" applyAlignment="1" applyProtection="1">
      <alignment horizontal="left" vertical="top" wrapText="1"/>
      <protection hidden="1"/>
    </xf>
    <xf numFmtId="0" fontId="11" fillId="0" borderId="0" xfId="2" applyFont="1" applyAlignment="1" applyProtection="1">
      <alignment horizontal="left" vertical="top" wrapText="1"/>
      <protection hidden="1"/>
    </xf>
    <xf numFmtId="0" fontId="3" fillId="0" borderId="0" xfId="2" applyProtection="1">
      <protection hidden="1"/>
    </xf>
    <xf numFmtId="0" fontId="15" fillId="0" borderId="0" xfId="2" applyFont="1" applyAlignment="1">
      <alignment horizontal="center" vertical="top"/>
    </xf>
    <xf numFmtId="0" fontId="13" fillId="0" borderId="16" xfId="2" applyFont="1" applyBorder="1" applyAlignment="1" applyProtection="1">
      <alignment horizontal="center" vertical="center" wrapText="1"/>
      <protection hidden="1"/>
    </xf>
    <xf numFmtId="0" fontId="9" fillId="0" borderId="0" xfId="2" applyFont="1" applyAlignment="1" applyProtection="1">
      <alignment horizontal="left" vertical="center" wrapText="1"/>
      <protection hidden="1"/>
    </xf>
    <xf numFmtId="0" fontId="3" fillId="0" borderId="0" xfId="2" applyAlignment="1" applyProtection="1">
      <alignment horizontal="left" vertical="center"/>
      <protection hidden="1"/>
    </xf>
    <xf numFmtId="0" fontId="3" fillId="0" borderId="10" xfId="2" applyBorder="1" applyAlignment="1" applyProtection="1">
      <alignment vertical="top"/>
      <protection locked="0"/>
    </xf>
    <xf numFmtId="0" fontId="3" fillId="0" borderId="10" xfId="2" applyBorder="1" applyAlignment="1" applyProtection="1">
      <alignment vertical="top" wrapText="1"/>
      <protection locked="0"/>
    </xf>
    <xf numFmtId="0" fontId="3" fillId="0" borderId="1" xfId="2" applyBorder="1" applyAlignment="1">
      <alignment horizontal="center"/>
    </xf>
  </cellXfs>
  <cellStyles count="3">
    <cellStyle name="Link" xfId="1" builtinId="8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ngredients_ZQM_FuE\ZQM\04_LiM\allgemein\QM%20in%20der%20Beschaffung\DMK\2019_04_01_Kopie%20von%20Lieferanten%20Selbstauditierungsbogen%20Direkte%20Materiali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ü"/>
      <sheetName val="Zutaten Teil1 ingredients"/>
      <sheetName val=" Zutaten Teil2 ohne BRC IFS"/>
      <sheetName val="Verpackungen Teil1 packaging"/>
      <sheetName val="Verpackungen Teil2 ohne_BRC_IoP"/>
      <sheetName val="Metadaten"/>
    </sheetNames>
    <sheetDataSet>
      <sheetData sheetId="0" refreshError="1"/>
      <sheetData sheetId="1" refreshError="1"/>
      <sheetData sheetId="2" refreshError="1"/>
      <sheetData sheetId="3"/>
      <sheetData sheetId="4">
        <row r="89">
          <cell r="G89">
            <v>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J91"/>
  <sheetViews>
    <sheetView workbookViewId="0">
      <selection activeCell="J16" sqref="J16"/>
    </sheetView>
  </sheetViews>
  <sheetFormatPr baseColWidth="10" defaultRowHeight="15" x14ac:dyDescent="0.25"/>
  <cols>
    <col min="3" max="4" width="7.7109375" customWidth="1"/>
    <col min="6" max="9" width="0" hidden="1" customWidth="1"/>
  </cols>
  <sheetData>
    <row r="4" spans="2:10" ht="15.75" thickBot="1" x14ac:dyDescent="0.3"/>
    <row r="5" spans="2:10" ht="15" customHeight="1" x14ac:dyDescent="0.25">
      <c r="B5" s="71" t="s">
        <v>0</v>
      </c>
      <c r="C5" s="72"/>
      <c r="E5" s="71" t="s">
        <v>1</v>
      </c>
      <c r="F5" s="75"/>
      <c r="G5" s="75"/>
      <c r="H5" s="75"/>
      <c r="I5" s="75"/>
      <c r="J5" s="76"/>
    </row>
    <row r="6" spans="2:10" x14ac:dyDescent="0.25">
      <c r="B6" s="73"/>
      <c r="C6" s="74"/>
      <c r="E6" s="77"/>
      <c r="F6" s="78"/>
      <c r="G6" s="78"/>
      <c r="H6" s="78"/>
      <c r="I6" s="78"/>
      <c r="J6" s="79"/>
    </row>
    <row r="7" spans="2:10" x14ac:dyDescent="0.25">
      <c r="B7" s="73"/>
      <c r="C7" s="74"/>
      <c r="E7" s="77"/>
      <c r="F7" s="78"/>
      <c r="G7" s="78"/>
      <c r="H7" s="78"/>
      <c r="I7" s="78"/>
      <c r="J7" s="79"/>
    </row>
    <row r="8" spans="2:10" x14ac:dyDescent="0.25">
      <c r="B8" s="73"/>
      <c r="C8" s="74"/>
      <c r="E8" s="77"/>
      <c r="F8" s="78"/>
      <c r="G8" s="78"/>
      <c r="H8" s="78"/>
      <c r="I8" s="78"/>
      <c r="J8" s="79"/>
    </row>
    <row r="9" spans="2:10" x14ac:dyDescent="0.25">
      <c r="B9" s="77" t="s">
        <v>329</v>
      </c>
      <c r="C9" s="74"/>
      <c r="E9" s="77" t="s">
        <v>328</v>
      </c>
      <c r="F9" s="78"/>
      <c r="G9" s="78"/>
      <c r="H9" s="78"/>
      <c r="I9" s="78"/>
      <c r="J9" s="79"/>
    </row>
    <row r="10" spans="2:10" x14ac:dyDescent="0.25">
      <c r="B10" s="73"/>
      <c r="C10" s="74"/>
      <c r="E10" s="77"/>
      <c r="F10" s="78"/>
      <c r="G10" s="78"/>
      <c r="H10" s="78"/>
      <c r="I10" s="78"/>
      <c r="J10" s="79"/>
    </row>
    <row r="11" spans="2:10" x14ac:dyDescent="0.25">
      <c r="B11" s="73"/>
      <c r="C11" s="74"/>
      <c r="E11" s="77"/>
      <c r="F11" s="78"/>
      <c r="G11" s="78"/>
      <c r="H11" s="78"/>
      <c r="I11" s="78"/>
      <c r="J11" s="79"/>
    </row>
    <row r="12" spans="2:10" ht="15.75" thickBot="1" x14ac:dyDescent="0.3">
      <c r="B12" s="80"/>
      <c r="C12" s="81"/>
      <c r="E12" s="82"/>
      <c r="F12" s="83"/>
      <c r="G12" s="83"/>
      <c r="H12" s="83"/>
      <c r="I12" s="83"/>
      <c r="J12" s="84"/>
    </row>
    <row r="91" spans="1:1" x14ac:dyDescent="0.25">
      <c r="A91" t="str">
        <f>CONCATENATE("Prüfsumme: ",H7," - ",H11," - ",H15," - ",H18," - ",H22," - ",H26," - ",H28,"  - ",H35," - ",H37," - ",H41," - ",H47," - ",H53," - ",H56," - ",H62," - ",H65," - ",H68," - ",H70," - ",H73," - ",H78," - ",H83," - ",H85," - ",H89)</f>
        <v xml:space="preserve">Prüfsumme:  -  -  -  -  -  -   -  -  -  -  -  -  -  -  -  -  -  -  -  -  - </v>
      </c>
    </row>
  </sheetData>
  <sheetProtection algorithmName="SHA-512" hashValue="d4bbzRiGXmel6SP0yxUU8MyVRuV7rekf+G9+sDK+snmo9CchNlNjzFoPhUAVpEDLw+oyj5AZSBPXLu/FLOYkBg==" saltValue="I/RHOLNlZD35AggSZyd0Eg==" spinCount="100000" sheet="1" objects="1" scenarios="1"/>
  <mergeCells count="4">
    <mergeCell ref="B5:C8"/>
    <mergeCell ref="E5:J8"/>
    <mergeCell ref="B9:C12"/>
    <mergeCell ref="E9:J12"/>
  </mergeCells>
  <hyperlinks>
    <hyperlink ref="B5:C8" location="'Zutaten Teil1 ingredients'!A1" display="Rohstoffe / Zutaten / Zusatzstoffe" xr:uid="{00000000-0004-0000-0000-000000000000}"/>
    <hyperlink ref="E5:F8" location="'Verpackungen Teil1'!A1" display="Verpackungen " xr:uid="{00000000-0004-0000-0000-000001000000}"/>
    <hyperlink ref="B9:C12" location="'Zutaten Teil1 ingredients'!A1" display="raw materials / ingredients / additives" xr:uid="{00000000-0004-0000-0000-000002000000}"/>
    <hyperlink ref="E5:J8" location="'Verpackungen Teil1 packaging'!Drucktitel" display="Verpackungen " xr:uid="{00000000-0004-0000-0000-000003000000}"/>
    <hyperlink ref="E9:F12" location="'Verpackungen Teil1'!A1" display="Verpackungen " xr:uid="{00000000-0004-0000-0000-000004000000}"/>
    <hyperlink ref="E9:J12" location="'Verpackungen Teil1 packaging'!Drucktitel" display="packaging" xr:uid="{00000000-0004-0000-0000-000005000000}"/>
  </hyperlinks>
  <pageMargins left="0.7" right="0.7" top="1.1811023622047201" bottom="0.59055118110236204" header="0.196850393700787" footer="0.31496062992126"/>
  <pageSetup paperSize="9" orientation="portrait" r:id="rId1"/>
  <headerFooter scaleWithDoc="0">
    <oddHeader>&amp;L&amp;G_x000D__x000D_&amp;"Arial,Standard"&amp;10Formular | Lieferanten Selbstauditierungsbogen direkte Materialien [de] [en]&amp;R&amp;"Arial,Standard"&amp;10&amp;K000000QM Systems &amp; Food Safety (COE)_x000D_FO-ZTR-55514-3_x000D__x000D_&amp;1&amp;K00+000|21f&amp;1 &amp;K00+000|44f6</oddHeader>
    <oddFooter>&amp;L&amp;"Arial,Standard"&amp;8Ansprechperson: Beckers, Mario&amp;C&amp;"Arial,Standard"&amp;8Freigegeben am 13.06.2023&amp;1&amp;K00+000|21f&amp;R&amp;"Arial,Standard"&amp;8&amp;"Arial,Standard"&amp;8&amp;"Arial,Standard"&amp;9Seite &amp;P von &amp;N&amp;1 &amp;K00+000|44f6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/>
  <dimension ref="A2:H135"/>
  <sheetViews>
    <sheetView showGridLines="0" tabSelected="1" zoomScaleNormal="100" zoomScalePageLayoutView="80" workbookViewId="0">
      <selection activeCell="C10" sqref="C10:E10"/>
    </sheetView>
  </sheetViews>
  <sheetFormatPr baseColWidth="10" defaultRowHeight="12.75" x14ac:dyDescent="0.2"/>
  <cols>
    <col min="1" max="1" width="6.140625" style="22" customWidth="1"/>
    <col min="2" max="2" width="41.5703125" style="23" customWidth="1"/>
    <col min="3" max="3" width="7.7109375" style="24" customWidth="1"/>
    <col min="4" max="4" width="7.7109375" style="2" customWidth="1"/>
    <col min="5" max="5" width="31.85546875" style="2" customWidth="1"/>
    <col min="6" max="6" width="7.28515625" style="1" hidden="1" customWidth="1"/>
    <col min="7" max="7" width="7.28515625" style="2" hidden="1" customWidth="1"/>
    <col min="8" max="8" width="7.5703125" style="2" hidden="1" customWidth="1"/>
    <col min="9" max="9" width="11.42578125" style="2" customWidth="1"/>
    <col min="10" max="16384" width="11.42578125" style="2"/>
  </cols>
  <sheetData>
    <row r="2" spans="1:8" ht="37.5" customHeight="1" x14ac:dyDescent="0.2">
      <c r="A2" s="88" t="s">
        <v>2</v>
      </c>
      <c r="B2" s="88"/>
      <c r="C2" s="88"/>
      <c r="D2" s="88"/>
      <c r="E2" s="88"/>
      <c r="F2" s="1" t="s">
        <v>3</v>
      </c>
    </row>
    <row r="3" spans="1:8" ht="39" customHeight="1" x14ac:dyDescent="0.2">
      <c r="A3" s="3" t="s">
        <v>4</v>
      </c>
      <c r="B3" s="89" t="s">
        <v>5</v>
      </c>
      <c r="C3" s="89"/>
      <c r="D3" s="89"/>
      <c r="E3" s="89"/>
      <c r="H3" s="4" t="s">
        <v>6</v>
      </c>
    </row>
    <row r="4" spans="1:8" ht="17.100000000000001" customHeight="1" x14ac:dyDescent="0.2">
      <c r="A4" s="5">
        <v>1</v>
      </c>
      <c r="B4" s="6" t="s">
        <v>7</v>
      </c>
      <c r="C4" s="90" t="s">
        <v>8</v>
      </c>
      <c r="D4" s="90"/>
      <c r="E4" s="90"/>
      <c r="F4" s="7"/>
      <c r="G4" s="8"/>
      <c r="H4" s="8"/>
    </row>
    <row r="5" spans="1:8" ht="48.75" customHeight="1" x14ac:dyDescent="0.2">
      <c r="A5" s="9" t="s">
        <v>9</v>
      </c>
      <c r="B5" s="10" t="s">
        <v>376</v>
      </c>
      <c r="C5" s="87"/>
      <c r="D5" s="87"/>
      <c r="E5" s="87"/>
      <c r="F5" s="53"/>
      <c r="G5" s="54"/>
      <c r="H5" s="55">
        <f>IF(C5&gt;"",CODE(C5)+LEN(C5),0)</f>
        <v>0</v>
      </c>
    </row>
    <row r="6" spans="1:8" ht="24" x14ac:dyDescent="0.2">
      <c r="A6" s="9" t="s">
        <v>10</v>
      </c>
      <c r="B6" s="10" t="s">
        <v>377</v>
      </c>
      <c r="C6" s="87"/>
      <c r="D6" s="87"/>
      <c r="E6" s="87"/>
      <c r="F6" s="53"/>
      <c r="G6" s="54"/>
      <c r="H6" s="55">
        <f t="shared" ref="H6:H46" si="0">IF(C6&gt;"",CODE(C6)+LEN(C6),0)</f>
        <v>0</v>
      </c>
    </row>
    <row r="7" spans="1:8" x14ac:dyDescent="0.2">
      <c r="A7" s="9" t="s">
        <v>11</v>
      </c>
      <c r="B7" s="10" t="s">
        <v>13</v>
      </c>
      <c r="C7" s="87"/>
      <c r="D7" s="87"/>
      <c r="E7" s="87"/>
      <c r="F7" s="53"/>
      <c r="G7" s="54"/>
      <c r="H7" s="55">
        <f t="shared" si="0"/>
        <v>0</v>
      </c>
    </row>
    <row r="8" spans="1:8" ht="24" x14ac:dyDescent="0.2">
      <c r="A8" s="9" t="s">
        <v>12</v>
      </c>
      <c r="B8" s="10" t="s">
        <v>378</v>
      </c>
      <c r="C8" s="87"/>
      <c r="D8" s="87"/>
      <c r="E8" s="87"/>
      <c r="F8" s="53"/>
      <c r="G8" s="54"/>
      <c r="H8" s="55">
        <f t="shared" si="0"/>
        <v>0</v>
      </c>
    </row>
    <row r="9" spans="1:8" ht="35.25" x14ac:dyDescent="0.2">
      <c r="A9" s="9" t="s">
        <v>14</v>
      </c>
      <c r="B9" s="10" t="s">
        <v>16</v>
      </c>
      <c r="C9" s="87"/>
      <c r="D9" s="87"/>
      <c r="E9" s="87"/>
      <c r="F9" s="53"/>
      <c r="G9" s="54"/>
      <c r="H9" s="55">
        <f t="shared" si="0"/>
        <v>0</v>
      </c>
    </row>
    <row r="10" spans="1:8" ht="24" x14ac:dyDescent="0.2">
      <c r="A10" s="9" t="s">
        <v>15</v>
      </c>
      <c r="B10" s="10" t="s">
        <v>18</v>
      </c>
      <c r="C10" s="87"/>
      <c r="D10" s="87"/>
      <c r="E10" s="87"/>
      <c r="F10" s="53"/>
      <c r="G10" s="54"/>
      <c r="H10" s="55">
        <f t="shared" si="0"/>
        <v>0</v>
      </c>
    </row>
    <row r="11" spans="1:8" ht="24" x14ac:dyDescent="0.2">
      <c r="A11" s="9" t="s">
        <v>17</v>
      </c>
      <c r="B11" s="10" t="s">
        <v>20</v>
      </c>
      <c r="C11" s="87"/>
      <c r="D11" s="87"/>
      <c r="E11" s="87"/>
      <c r="F11" s="53"/>
      <c r="G11" s="54"/>
      <c r="H11" s="55">
        <f t="shared" si="0"/>
        <v>0</v>
      </c>
    </row>
    <row r="12" spans="1:8" ht="24" x14ac:dyDescent="0.2">
      <c r="A12" s="9" t="s">
        <v>19</v>
      </c>
      <c r="B12" s="10" t="s">
        <v>22</v>
      </c>
      <c r="C12" s="87"/>
      <c r="D12" s="87"/>
      <c r="E12" s="87"/>
      <c r="F12" s="53"/>
      <c r="G12" s="54"/>
      <c r="H12" s="55">
        <f t="shared" si="0"/>
        <v>0</v>
      </c>
    </row>
    <row r="13" spans="1:8" ht="24" x14ac:dyDescent="0.2">
      <c r="A13" s="9" t="s">
        <v>21</v>
      </c>
      <c r="B13" s="10" t="s">
        <v>24</v>
      </c>
      <c r="C13" s="87"/>
      <c r="D13" s="87"/>
      <c r="E13" s="87"/>
      <c r="F13" s="53"/>
      <c r="G13" s="54"/>
      <c r="H13" s="55">
        <f t="shared" si="0"/>
        <v>0</v>
      </c>
    </row>
    <row r="14" spans="1:8" ht="24" x14ac:dyDescent="0.2">
      <c r="A14" s="9" t="s">
        <v>23</v>
      </c>
      <c r="B14" s="10" t="s">
        <v>26</v>
      </c>
      <c r="C14" s="87"/>
      <c r="D14" s="87"/>
      <c r="E14" s="87"/>
      <c r="F14" s="53"/>
      <c r="G14" s="54"/>
      <c r="H14" s="55">
        <f t="shared" si="0"/>
        <v>0</v>
      </c>
    </row>
    <row r="15" spans="1:8" ht="48" x14ac:dyDescent="0.2">
      <c r="A15" s="9" t="s">
        <v>25</v>
      </c>
      <c r="B15" s="10" t="s">
        <v>375</v>
      </c>
      <c r="C15" s="87"/>
      <c r="D15" s="87"/>
      <c r="E15" s="87"/>
      <c r="F15" s="53"/>
      <c r="G15" s="54"/>
      <c r="H15" s="55">
        <f t="shared" si="0"/>
        <v>0</v>
      </c>
    </row>
    <row r="16" spans="1:8" ht="46.5" customHeight="1" x14ac:dyDescent="0.2">
      <c r="A16" s="9" t="s">
        <v>27</v>
      </c>
      <c r="B16" s="10" t="s">
        <v>28</v>
      </c>
      <c r="C16" s="87"/>
      <c r="D16" s="87"/>
      <c r="E16" s="87"/>
      <c r="F16" s="53"/>
      <c r="G16" s="54"/>
      <c r="H16" s="55">
        <f t="shared" si="0"/>
        <v>0</v>
      </c>
    </row>
    <row r="17" spans="1:8" ht="17.100000000000001" customHeight="1" x14ac:dyDescent="0.2">
      <c r="A17" s="5">
        <v>2</v>
      </c>
      <c r="B17" s="6" t="s">
        <v>29</v>
      </c>
      <c r="C17" s="90" t="s">
        <v>8</v>
      </c>
      <c r="D17" s="90"/>
      <c r="E17" s="90"/>
      <c r="F17" s="7"/>
      <c r="G17" s="8"/>
      <c r="H17" s="8">
        <f>SUM(H5:H16)</f>
        <v>0</v>
      </c>
    </row>
    <row r="18" spans="1:8" ht="30" customHeight="1" x14ac:dyDescent="0.2">
      <c r="A18" s="9" t="s">
        <v>30</v>
      </c>
      <c r="B18" s="10" t="s">
        <v>31</v>
      </c>
      <c r="C18" s="87"/>
      <c r="D18" s="87"/>
      <c r="E18" s="87"/>
      <c r="F18" s="53"/>
      <c r="G18" s="54"/>
      <c r="H18" s="55">
        <f t="shared" si="0"/>
        <v>0</v>
      </c>
    </row>
    <row r="19" spans="1:8" ht="24" x14ac:dyDescent="0.2">
      <c r="A19" s="9" t="s">
        <v>32</v>
      </c>
      <c r="B19" s="10" t="s">
        <v>33</v>
      </c>
      <c r="C19" s="87"/>
      <c r="D19" s="87"/>
      <c r="E19" s="87"/>
      <c r="F19" s="53"/>
      <c r="G19" s="54"/>
      <c r="H19" s="55">
        <f t="shared" si="0"/>
        <v>0</v>
      </c>
    </row>
    <row r="20" spans="1:8" ht="24" x14ac:dyDescent="0.2">
      <c r="A20" s="9" t="s">
        <v>34</v>
      </c>
      <c r="B20" s="10" t="s">
        <v>35</v>
      </c>
      <c r="C20" s="87"/>
      <c r="D20" s="87"/>
      <c r="E20" s="87"/>
      <c r="F20" s="53"/>
      <c r="G20" s="54"/>
      <c r="H20" s="55">
        <f t="shared" si="0"/>
        <v>0</v>
      </c>
    </row>
    <row r="21" spans="1:8" ht="30" customHeight="1" x14ac:dyDescent="0.2">
      <c r="A21" s="9" t="s">
        <v>36</v>
      </c>
      <c r="B21" s="10" t="s">
        <v>37</v>
      </c>
      <c r="C21" s="87"/>
      <c r="D21" s="87"/>
      <c r="E21" s="87"/>
      <c r="F21" s="53"/>
      <c r="G21" s="54"/>
      <c r="H21" s="55">
        <f t="shared" si="0"/>
        <v>0</v>
      </c>
    </row>
    <row r="22" spans="1:8" ht="30.75" customHeight="1" x14ac:dyDescent="0.2">
      <c r="A22" s="9" t="s">
        <v>38</v>
      </c>
      <c r="B22" s="10" t="s">
        <v>39</v>
      </c>
      <c r="C22" s="87"/>
      <c r="D22" s="87"/>
      <c r="E22" s="87"/>
      <c r="F22" s="53"/>
      <c r="G22" s="54"/>
      <c r="H22" s="55">
        <f t="shared" si="0"/>
        <v>0</v>
      </c>
    </row>
    <row r="23" spans="1:8" ht="24" x14ac:dyDescent="0.2">
      <c r="A23" s="9" t="s">
        <v>40</v>
      </c>
      <c r="B23" s="10" t="s">
        <v>41</v>
      </c>
      <c r="C23" s="87"/>
      <c r="D23" s="87"/>
      <c r="E23" s="87"/>
      <c r="F23" s="53"/>
      <c r="G23" s="54"/>
      <c r="H23" s="55">
        <f t="shared" si="0"/>
        <v>0</v>
      </c>
    </row>
    <row r="24" spans="1:8" ht="35.25" x14ac:dyDescent="0.2">
      <c r="A24" s="9" t="s">
        <v>42</v>
      </c>
      <c r="B24" s="10" t="s">
        <v>374</v>
      </c>
      <c r="C24" s="87"/>
      <c r="D24" s="87"/>
      <c r="E24" s="87"/>
      <c r="F24" s="53"/>
      <c r="G24" s="54"/>
      <c r="H24" s="55">
        <f t="shared" si="0"/>
        <v>0</v>
      </c>
    </row>
    <row r="25" spans="1:8" ht="28.5" customHeight="1" x14ac:dyDescent="0.2">
      <c r="A25" s="5">
        <v>3</v>
      </c>
      <c r="B25" s="6" t="s">
        <v>43</v>
      </c>
      <c r="C25" s="12" t="s">
        <v>67</v>
      </c>
      <c r="D25" s="12" t="s">
        <v>68</v>
      </c>
      <c r="E25" s="12" t="s">
        <v>8</v>
      </c>
      <c r="F25" s="7"/>
      <c r="G25" s="8"/>
      <c r="H25" s="8">
        <f>SUM(H18:H24)</f>
        <v>0</v>
      </c>
    </row>
    <row r="26" spans="1:8" ht="24" x14ac:dyDescent="0.2">
      <c r="A26" s="9" t="s">
        <v>44</v>
      </c>
      <c r="B26" s="10" t="s">
        <v>365</v>
      </c>
      <c r="C26" s="40"/>
      <c r="D26" s="40"/>
      <c r="E26" s="40"/>
      <c r="F26" s="53"/>
      <c r="G26" s="54"/>
      <c r="H26" s="55">
        <f t="shared" si="0"/>
        <v>0</v>
      </c>
    </row>
    <row r="27" spans="1:8" ht="43.5" customHeight="1" x14ac:dyDescent="0.2">
      <c r="A27" s="70" t="s">
        <v>45</v>
      </c>
      <c r="B27" s="69" t="s">
        <v>403</v>
      </c>
      <c r="C27" s="87"/>
      <c r="D27" s="87"/>
      <c r="E27" s="87"/>
      <c r="F27" s="53"/>
      <c r="G27" s="54"/>
      <c r="H27" s="55">
        <f t="shared" si="0"/>
        <v>0</v>
      </c>
    </row>
    <row r="28" spans="1:8" ht="60.75" x14ac:dyDescent="0.2">
      <c r="A28" s="9" t="s">
        <v>46</v>
      </c>
      <c r="B28" s="10" t="s">
        <v>354</v>
      </c>
      <c r="C28" s="15"/>
      <c r="D28" s="15"/>
      <c r="E28" s="15"/>
      <c r="F28" s="56"/>
      <c r="G28" s="57"/>
      <c r="H28" s="58">
        <f t="shared" si="0"/>
        <v>0</v>
      </c>
    </row>
    <row r="29" spans="1:8" ht="24" x14ac:dyDescent="0.2">
      <c r="A29" s="9" t="s">
        <v>47</v>
      </c>
      <c r="B29" s="10" t="s">
        <v>404</v>
      </c>
      <c r="C29" s="91"/>
      <c r="D29" s="92"/>
      <c r="E29" s="93"/>
      <c r="F29" s="56"/>
      <c r="G29" s="57"/>
      <c r="H29" s="58">
        <f t="shared" si="0"/>
        <v>0</v>
      </c>
    </row>
    <row r="30" spans="1:8" ht="60.75" x14ac:dyDescent="0.2">
      <c r="A30" s="9" t="s">
        <v>49</v>
      </c>
      <c r="B30" s="10" t="s">
        <v>405</v>
      </c>
      <c r="C30" s="15"/>
      <c r="D30" s="15"/>
      <c r="E30" s="15"/>
      <c r="F30" s="56"/>
      <c r="G30" s="57"/>
      <c r="H30" s="58">
        <f t="shared" si="0"/>
        <v>0</v>
      </c>
    </row>
    <row r="31" spans="1:8" ht="73.5" x14ac:dyDescent="0.2">
      <c r="A31" s="9" t="s">
        <v>51</v>
      </c>
      <c r="B31" s="10" t="s">
        <v>406</v>
      </c>
      <c r="C31" s="91"/>
      <c r="D31" s="92"/>
      <c r="E31" s="93"/>
      <c r="F31" s="56"/>
      <c r="G31" s="57"/>
      <c r="H31" s="58">
        <f t="shared" si="0"/>
        <v>0</v>
      </c>
    </row>
    <row r="32" spans="1:8" ht="25.5" x14ac:dyDescent="0.2">
      <c r="A32" s="9" t="s">
        <v>53</v>
      </c>
      <c r="B32" s="10" t="s">
        <v>48</v>
      </c>
      <c r="C32" s="87"/>
      <c r="D32" s="87"/>
      <c r="E32" s="87"/>
      <c r="F32" s="56"/>
      <c r="G32" s="57"/>
      <c r="H32" s="58">
        <f t="shared" si="0"/>
        <v>0</v>
      </c>
    </row>
    <row r="33" spans="1:8" ht="25.5" x14ac:dyDescent="0.2">
      <c r="A33" s="9" t="s">
        <v>55</v>
      </c>
      <c r="B33" s="10" t="s">
        <v>50</v>
      </c>
      <c r="C33" s="87"/>
      <c r="D33" s="87"/>
      <c r="E33" s="87"/>
      <c r="F33" s="56"/>
      <c r="G33" s="57"/>
      <c r="H33" s="58">
        <f t="shared" si="0"/>
        <v>0</v>
      </c>
    </row>
    <row r="34" spans="1:8" ht="25.5" x14ac:dyDescent="0.2">
      <c r="A34" s="9" t="s">
        <v>56</v>
      </c>
      <c r="B34" s="69" t="s">
        <v>52</v>
      </c>
      <c r="C34" s="87"/>
      <c r="D34" s="87"/>
      <c r="E34" s="87"/>
      <c r="F34" s="56"/>
      <c r="G34" s="57"/>
      <c r="H34" s="58">
        <f t="shared" si="0"/>
        <v>0</v>
      </c>
    </row>
    <row r="35" spans="1:8" ht="24" x14ac:dyDescent="0.2">
      <c r="A35" s="10" t="s">
        <v>57</v>
      </c>
      <c r="B35" s="10" t="s">
        <v>54</v>
      </c>
      <c r="C35" s="93"/>
      <c r="D35" s="87"/>
      <c r="E35" s="87"/>
      <c r="F35" s="53"/>
      <c r="G35" s="54"/>
      <c r="H35" s="55">
        <f t="shared" si="0"/>
        <v>0</v>
      </c>
    </row>
    <row r="36" spans="1:8" ht="48" x14ac:dyDescent="0.2">
      <c r="A36" s="45" t="s">
        <v>356</v>
      </c>
      <c r="B36" s="10" t="s">
        <v>407</v>
      </c>
      <c r="C36" s="15"/>
      <c r="D36" s="15"/>
      <c r="E36" s="15"/>
      <c r="F36" s="56"/>
      <c r="G36" s="57"/>
      <c r="H36" s="58">
        <f t="shared" si="0"/>
        <v>0</v>
      </c>
    </row>
    <row r="37" spans="1:8" ht="24" x14ac:dyDescent="0.2">
      <c r="A37" s="45" t="s">
        <v>357</v>
      </c>
      <c r="B37" s="10" t="s">
        <v>408</v>
      </c>
      <c r="C37" s="87"/>
      <c r="D37" s="87"/>
      <c r="E37" s="87"/>
      <c r="F37" s="56"/>
      <c r="G37" s="57"/>
      <c r="H37" s="58">
        <f t="shared" si="0"/>
        <v>0</v>
      </c>
    </row>
    <row r="38" spans="1:8" ht="25.5" x14ac:dyDescent="0.2">
      <c r="A38" s="45" t="s">
        <v>358</v>
      </c>
      <c r="B38" s="10" t="s">
        <v>366</v>
      </c>
      <c r="C38" s="15"/>
      <c r="D38" s="15"/>
      <c r="E38" s="15"/>
      <c r="F38" s="56"/>
      <c r="G38" s="57"/>
      <c r="H38" s="58">
        <f t="shared" si="0"/>
        <v>0</v>
      </c>
    </row>
    <row r="39" spans="1:8" ht="27" customHeight="1" x14ac:dyDescent="0.2">
      <c r="A39" s="45" t="s">
        <v>359</v>
      </c>
      <c r="B39" s="10" t="s">
        <v>409</v>
      </c>
      <c r="C39" s="15"/>
      <c r="D39" s="15"/>
      <c r="E39" s="15"/>
      <c r="F39" s="56"/>
      <c r="G39" s="57"/>
      <c r="H39" s="58">
        <f t="shared" si="0"/>
        <v>0</v>
      </c>
    </row>
    <row r="40" spans="1:8" ht="55.5" customHeight="1" x14ac:dyDescent="0.2">
      <c r="A40" s="45" t="s">
        <v>360</v>
      </c>
      <c r="B40" s="10" t="s">
        <v>402</v>
      </c>
      <c r="C40" s="15"/>
      <c r="D40" s="15"/>
      <c r="E40" s="15"/>
      <c r="F40" s="46"/>
      <c r="G40" s="47"/>
      <c r="H40" s="48">
        <f t="shared" si="0"/>
        <v>0</v>
      </c>
    </row>
    <row r="41" spans="1:8" ht="24" x14ac:dyDescent="0.2">
      <c r="A41" s="45" t="s">
        <v>362</v>
      </c>
      <c r="B41" s="10" t="s">
        <v>410</v>
      </c>
      <c r="C41" s="87"/>
      <c r="D41" s="87"/>
      <c r="E41" s="87"/>
      <c r="F41" s="46"/>
      <c r="G41" s="47"/>
      <c r="H41" s="48">
        <f t="shared" si="0"/>
        <v>0</v>
      </c>
    </row>
    <row r="42" spans="1:8" ht="48" x14ac:dyDescent="0.2">
      <c r="A42" s="45" t="s">
        <v>367</v>
      </c>
      <c r="B42" s="10" t="s">
        <v>411</v>
      </c>
      <c r="C42" s="15"/>
      <c r="D42" s="15"/>
      <c r="E42" s="15"/>
      <c r="F42" s="53"/>
      <c r="G42" s="54"/>
      <c r="H42" s="55">
        <f t="shared" si="0"/>
        <v>0</v>
      </c>
    </row>
    <row r="43" spans="1:8" ht="36.75" x14ac:dyDescent="0.2">
      <c r="A43" s="45" t="s">
        <v>368</v>
      </c>
      <c r="B43" s="10" t="s">
        <v>412</v>
      </c>
      <c r="C43" s="87"/>
      <c r="D43" s="87"/>
      <c r="E43" s="87"/>
      <c r="F43" s="53"/>
      <c r="G43" s="54"/>
      <c r="H43" s="55">
        <f t="shared" si="0"/>
        <v>0</v>
      </c>
    </row>
    <row r="44" spans="1:8" ht="50.25" customHeight="1" x14ac:dyDescent="0.2">
      <c r="A44" s="43">
        <v>4</v>
      </c>
      <c r="B44" s="42" t="s">
        <v>58</v>
      </c>
      <c r="C44" s="12" t="s">
        <v>67</v>
      </c>
      <c r="D44" s="12" t="s">
        <v>68</v>
      </c>
      <c r="E44" s="12" t="s">
        <v>8</v>
      </c>
      <c r="F44" s="7"/>
      <c r="G44" s="8"/>
      <c r="H44" s="8">
        <f>SUM(H26:H43)</f>
        <v>0</v>
      </c>
    </row>
    <row r="45" spans="1:8" ht="36.75" x14ac:dyDescent="0.2">
      <c r="A45" s="9" t="s">
        <v>59</v>
      </c>
      <c r="B45" s="10" t="s">
        <v>60</v>
      </c>
      <c r="C45" s="87"/>
      <c r="D45" s="87"/>
      <c r="E45" s="87"/>
      <c r="F45" s="53"/>
      <c r="G45" s="54"/>
      <c r="H45" s="55">
        <f t="shared" si="0"/>
        <v>0</v>
      </c>
    </row>
    <row r="46" spans="1:8" ht="36.75" x14ac:dyDescent="0.2">
      <c r="A46" s="9" t="s">
        <v>61</v>
      </c>
      <c r="B46" s="10" t="s">
        <v>62</v>
      </c>
      <c r="C46" s="87"/>
      <c r="D46" s="87"/>
      <c r="E46" s="87"/>
      <c r="F46" s="59"/>
      <c r="G46" s="60"/>
      <c r="H46" s="55">
        <f t="shared" si="0"/>
        <v>0</v>
      </c>
    </row>
    <row r="47" spans="1:8" ht="48" x14ac:dyDescent="0.2">
      <c r="A47" s="9" t="s">
        <v>63</v>
      </c>
      <c r="B47" s="10" t="s">
        <v>64</v>
      </c>
      <c r="C47" s="87"/>
      <c r="D47" s="87"/>
      <c r="E47" s="87"/>
      <c r="F47" s="61" t="s">
        <v>65</v>
      </c>
      <c r="G47" s="62" t="s">
        <v>66</v>
      </c>
      <c r="H47" s="55">
        <f>IF(C47&gt;"",CODE(C47)+LEN(C47),0)</f>
        <v>0</v>
      </c>
    </row>
    <row r="48" spans="1:8" ht="91.5" customHeight="1" x14ac:dyDescent="0.2">
      <c r="A48" s="9" t="s">
        <v>69</v>
      </c>
      <c r="B48" s="10" t="s">
        <v>372</v>
      </c>
      <c r="C48" s="15"/>
      <c r="D48" s="15"/>
      <c r="E48" s="15"/>
      <c r="F48" s="63">
        <v>2</v>
      </c>
      <c r="G48" s="55">
        <f>IF(C48="X",F48,0)</f>
        <v>0</v>
      </c>
      <c r="H48" s="55">
        <f>IF(C48="x",44,IF(D48="x",44*2,0))+IF(E48&gt;"",CODE(E48)+LEN(E48),0)</f>
        <v>0</v>
      </c>
    </row>
    <row r="49" spans="1:8" ht="70.5" customHeight="1" x14ac:dyDescent="0.2">
      <c r="A49" s="9" t="s">
        <v>70</v>
      </c>
      <c r="B49" s="10" t="s">
        <v>373</v>
      </c>
      <c r="C49" s="15"/>
      <c r="D49" s="15"/>
      <c r="E49" s="15"/>
      <c r="F49" s="63">
        <v>2</v>
      </c>
      <c r="G49" s="55">
        <f>IF(C49="X",F49,0)</f>
        <v>0</v>
      </c>
      <c r="H49" s="55">
        <f>IF(C49="x",45,IF(D49="x",45*2,0))+IF(E49&gt;"",CODE(E49)+LEN(E49),0)</f>
        <v>0</v>
      </c>
    </row>
    <row r="50" spans="1:8" ht="48" customHeight="1" x14ac:dyDescent="0.2">
      <c r="A50" s="9" t="s">
        <v>355</v>
      </c>
      <c r="B50" s="10" t="s">
        <v>413</v>
      </c>
      <c r="C50" s="2"/>
      <c r="F50" s="57"/>
      <c r="G50" s="57"/>
      <c r="H50" s="58">
        <f>IF(C50&gt;"",CODE(C50)+LEN(C50),0)</f>
        <v>0</v>
      </c>
    </row>
    <row r="51" spans="1:8" ht="28.5" x14ac:dyDescent="0.2">
      <c r="A51" s="5">
        <v>5</v>
      </c>
      <c r="B51" s="6" t="s">
        <v>71</v>
      </c>
      <c r="C51" s="12" t="s">
        <v>67</v>
      </c>
      <c r="D51" s="12" t="s">
        <v>68</v>
      </c>
      <c r="E51" s="12" t="s">
        <v>72</v>
      </c>
      <c r="F51" s="13"/>
      <c r="G51" s="14"/>
      <c r="H51" s="8">
        <f>SUM(H45:H50)</f>
        <v>0</v>
      </c>
    </row>
    <row r="52" spans="1:8" ht="71.25" customHeight="1" x14ac:dyDescent="0.2">
      <c r="A52" s="85" t="s">
        <v>420</v>
      </c>
      <c r="B52" s="85"/>
      <c r="C52" s="85"/>
      <c r="D52" s="85"/>
      <c r="E52" s="85"/>
      <c r="F52" s="13"/>
      <c r="G52" s="14"/>
      <c r="H52" s="8"/>
    </row>
    <row r="53" spans="1:8" ht="48" x14ac:dyDescent="0.2">
      <c r="A53" s="9" t="s">
        <v>73</v>
      </c>
      <c r="B53" s="10" t="s">
        <v>345</v>
      </c>
      <c r="C53" s="15"/>
      <c r="D53" s="15"/>
      <c r="E53" s="15"/>
      <c r="F53" s="63">
        <v>1</v>
      </c>
      <c r="G53" s="55">
        <f>IF(C53="X",F53,0)</f>
        <v>0</v>
      </c>
      <c r="H53" s="55">
        <f>IF(C53="x",51,IF(D53="x",51*2,0))+IF(E53&gt;"",CODE(E53)+LEN(E53),0)</f>
        <v>0</v>
      </c>
    </row>
    <row r="54" spans="1:8" ht="87" customHeight="1" x14ac:dyDescent="0.2">
      <c r="A54" s="9" t="s">
        <v>74</v>
      </c>
      <c r="B54" s="16" t="s">
        <v>346</v>
      </c>
      <c r="C54" s="15"/>
      <c r="D54" s="15"/>
      <c r="E54" s="15"/>
      <c r="F54" s="65">
        <v>75</v>
      </c>
      <c r="G54" s="58"/>
      <c r="H54" s="58">
        <f>IF(C54="x",52,IF(D54="x",52*2,0))+IF(E54&gt;"",CODE(E54)+LEN(E54),0)</f>
        <v>0</v>
      </c>
    </row>
    <row r="55" spans="1:8" ht="83.25" customHeight="1" x14ac:dyDescent="0.2">
      <c r="A55" s="9" t="s">
        <v>75</v>
      </c>
      <c r="B55" s="10" t="s">
        <v>347</v>
      </c>
      <c r="C55" s="15"/>
      <c r="D55" s="15"/>
      <c r="E55" s="15"/>
      <c r="F55" s="65">
        <v>75</v>
      </c>
      <c r="G55" s="58"/>
      <c r="H55" s="58">
        <f>IF(C55="x",53,IF(D55="x",53*2,0))+IF(E55&gt;"",CODE(E55)+LEN(E55),0)</f>
        <v>0</v>
      </c>
    </row>
    <row r="56" spans="1:8" ht="85.5" customHeight="1" x14ac:dyDescent="0.2">
      <c r="A56" s="9" t="s">
        <v>76</v>
      </c>
      <c r="B56" s="10" t="s">
        <v>348</v>
      </c>
      <c r="C56" s="15"/>
      <c r="D56" s="15"/>
      <c r="E56" s="15"/>
      <c r="F56" s="65">
        <v>75</v>
      </c>
      <c r="G56" s="58">
        <f>IF(OR(C54="X",C55="X",C56="X"),75,0)</f>
        <v>0</v>
      </c>
      <c r="H56" s="58">
        <f>IF(C56="x",54,IF(D56="x",54*2,0))+IF(E56&gt;"",CODE(E56)+LEN(E56),0)</f>
        <v>0</v>
      </c>
    </row>
    <row r="57" spans="1:8" ht="85.5" customHeight="1" x14ac:dyDescent="0.2">
      <c r="A57" s="9" t="s">
        <v>324</v>
      </c>
      <c r="B57" s="10" t="s">
        <v>414</v>
      </c>
      <c r="C57" s="91"/>
      <c r="D57" s="92"/>
      <c r="E57" s="93"/>
      <c r="F57" s="37"/>
      <c r="G57" s="36"/>
      <c r="H57" s="36">
        <f t="shared" ref="H57:H58" si="1">IF(C57="x",56,IF(D57="x",56*2,0))+IF(E57&gt;"",CODE(E57)+LEN(E57),0)</f>
        <v>0</v>
      </c>
    </row>
    <row r="58" spans="1:8" ht="66" customHeight="1" x14ac:dyDescent="0.2">
      <c r="A58" s="9" t="s">
        <v>77</v>
      </c>
      <c r="B58" s="10" t="s">
        <v>415</v>
      </c>
      <c r="C58" s="15"/>
      <c r="D58" s="15"/>
      <c r="E58" s="15"/>
      <c r="F58" s="65"/>
      <c r="G58" s="58"/>
      <c r="H58" s="58">
        <f t="shared" si="1"/>
        <v>0</v>
      </c>
    </row>
    <row r="59" spans="1:8" ht="36.75" x14ac:dyDescent="0.2">
      <c r="A59" s="9" t="s">
        <v>78</v>
      </c>
      <c r="B59" s="10" t="s">
        <v>398</v>
      </c>
      <c r="C59" s="15"/>
      <c r="D59" s="15"/>
      <c r="E59" s="15"/>
      <c r="F59" s="63">
        <v>2</v>
      </c>
      <c r="G59" s="55">
        <f t="shared" ref="G59:G121" si="2">IF(C59="X",F59,0)</f>
        <v>0</v>
      </c>
      <c r="H59" s="55">
        <f>IF(C59="x",56,IF(D59="x",56*2,0))+IF(E59&gt;"",CODE(E59)+LEN(E59),0)</f>
        <v>0</v>
      </c>
    </row>
    <row r="60" spans="1:8" ht="50.25" customHeight="1" x14ac:dyDescent="0.2">
      <c r="A60" s="9" t="s">
        <v>79</v>
      </c>
      <c r="B60" s="10" t="s">
        <v>416</v>
      </c>
      <c r="C60" s="15"/>
      <c r="D60" s="15"/>
      <c r="E60" s="15"/>
      <c r="F60" s="63">
        <v>1</v>
      </c>
      <c r="G60" s="55">
        <f t="shared" si="2"/>
        <v>0</v>
      </c>
      <c r="H60" s="55">
        <f>IF(C60="x",57,IF(D60="x",57*2,0))+IF(E60&gt;"",CODE(E60)+LEN(E60),0)</f>
        <v>0</v>
      </c>
    </row>
    <row r="61" spans="1:8" ht="50.25" customHeight="1" x14ac:dyDescent="0.2">
      <c r="A61" s="9" t="s">
        <v>80</v>
      </c>
      <c r="B61" s="10" t="s">
        <v>417</v>
      </c>
      <c r="C61" s="15"/>
      <c r="D61" s="15"/>
      <c r="E61" s="15"/>
      <c r="F61" s="63"/>
      <c r="G61" s="55"/>
      <c r="H61" s="55">
        <f>IF(C61="x",57,IF(D61="x",57*2,0))+IF(E61&gt;"",CODE(E61)+LEN(E61),0)</f>
        <v>0</v>
      </c>
    </row>
    <row r="62" spans="1:8" ht="60.75" x14ac:dyDescent="0.2">
      <c r="A62" s="9" t="s">
        <v>361</v>
      </c>
      <c r="B62" s="10" t="s">
        <v>371</v>
      </c>
      <c r="C62" s="15"/>
      <c r="D62" s="15"/>
      <c r="E62" s="15"/>
      <c r="F62" s="63">
        <v>1</v>
      </c>
      <c r="G62" s="55">
        <f t="shared" si="2"/>
        <v>0</v>
      </c>
      <c r="H62" s="55">
        <f>IF(C62="x",58,IF(D62="x",58*2,0))+IF(E62&gt;"",CODE(E62)+LEN(E62),0)</f>
        <v>0</v>
      </c>
    </row>
    <row r="63" spans="1:8" ht="28.5" customHeight="1" x14ac:dyDescent="0.2">
      <c r="A63" s="9" t="s">
        <v>370</v>
      </c>
      <c r="B63" s="10" t="s">
        <v>81</v>
      </c>
      <c r="C63" s="15"/>
      <c r="D63" s="15"/>
      <c r="E63" s="15"/>
      <c r="F63" s="63">
        <v>1</v>
      </c>
      <c r="G63" s="55">
        <f t="shared" si="2"/>
        <v>0</v>
      </c>
      <c r="H63" s="55">
        <f>IF(C63="x",59,IF(D63="x",59*2,0))+IF(E63&gt;"",CODE(E63)+LEN(E63),0)</f>
        <v>0</v>
      </c>
    </row>
    <row r="64" spans="1:8" ht="15.75" x14ac:dyDescent="0.2">
      <c r="A64" s="5">
        <v>6</v>
      </c>
      <c r="B64" s="17" t="s">
        <v>82</v>
      </c>
      <c r="C64" s="12" t="s">
        <v>67</v>
      </c>
      <c r="D64" s="12" t="s">
        <v>68</v>
      </c>
      <c r="E64" s="12" t="s">
        <v>8</v>
      </c>
      <c r="F64" s="13"/>
      <c r="G64" s="14"/>
      <c r="H64" s="8">
        <f>SUM(H53:H63)</f>
        <v>0</v>
      </c>
    </row>
    <row r="65" spans="1:8" ht="49.5" customHeight="1" x14ac:dyDescent="0.2">
      <c r="A65" s="11" t="s">
        <v>83</v>
      </c>
      <c r="B65" s="10" t="s">
        <v>379</v>
      </c>
      <c r="C65" s="18"/>
      <c r="D65" s="18"/>
      <c r="E65" s="15"/>
      <c r="F65" s="63">
        <v>2</v>
      </c>
      <c r="G65" s="55">
        <f t="shared" si="2"/>
        <v>0</v>
      </c>
      <c r="H65" s="55">
        <f>IF(C65="x",61,IF(D65="x",61*2,0))+IF(E65&gt;"",CODE(E65)+LEN(E65),0)</f>
        <v>0</v>
      </c>
    </row>
    <row r="66" spans="1:8" ht="24" x14ac:dyDescent="0.2">
      <c r="A66" s="9" t="s">
        <v>84</v>
      </c>
      <c r="B66" s="10" t="s">
        <v>85</v>
      </c>
      <c r="C66" s="18"/>
      <c r="D66" s="18"/>
      <c r="E66" s="15"/>
      <c r="F66" s="63">
        <v>1</v>
      </c>
      <c r="G66" s="55">
        <f t="shared" si="2"/>
        <v>0</v>
      </c>
      <c r="H66" s="55">
        <f>IF(C66="x",62,IF(D66="x",62*2,0))+IF(E66&gt;"",CODE(E66)+LEN(E66),0)</f>
        <v>0</v>
      </c>
    </row>
    <row r="67" spans="1:8" ht="25.5" x14ac:dyDescent="0.2">
      <c r="A67" s="9" t="s">
        <v>86</v>
      </c>
      <c r="B67" s="10" t="s">
        <v>363</v>
      </c>
      <c r="C67" s="18"/>
      <c r="D67" s="18"/>
      <c r="E67" s="15"/>
      <c r="F67" s="63">
        <v>1</v>
      </c>
      <c r="G67" s="55">
        <f t="shared" si="2"/>
        <v>0</v>
      </c>
      <c r="H67" s="55">
        <f>IF(C67="x",63,IF(D67="x",63*2,0))+IF(E67&gt;"",CODE(E67)+LEN(E67),0)</f>
        <v>0</v>
      </c>
    </row>
    <row r="68" spans="1:8" ht="25.5" x14ac:dyDescent="0.2">
      <c r="A68" s="9" t="s">
        <v>87</v>
      </c>
      <c r="B68" s="10" t="s">
        <v>418</v>
      </c>
      <c r="C68" s="94"/>
      <c r="D68" s="95"/>
      <c r="E68" s="96"/>
      <c r="F68" s="63"/>
      <c r="G68" s="55"/>
      <c r="H68" s="55">
        <f>IF(C68&gt;"",CODE(C68)+LEN(C68),0)</f>
        <v>0</v>
      </c>
    </row>
    <row r="69" spans="1:8" ht="27.75" customHeight="1" x14ac:dyDescent="0.2">
      <c r="A69" s="9" t="s">
        <v>89</v>
      </c>
      <c r="B69" s="10" t="s">
        <v>88</v>
      </c>
      <c r="C69" s="18"/>
      <c r="D69" s="18"/>
      <c r="E69" s="15"/>
      <c r="F69" s="63">
        <v>1</v>
      </c>
      <c r="G69" s="55">
        <f t="shared" si="2"/>
        <v>0</v>
      </c>
      <c r="H69" s="55">
        <f>IF(C69="x",64,IF(D69="x",64*2,0))+IF(E69&gt;"",CODE(E69)+LEN(E69),0)</f>
        <v>0</v>
      </c>
    </row>
    <row r="70" spans="1:8" ht="24" x14ac:dyDescent="0.2">
      <c r="A70" s="9" t="s">
        <v>91</v>
      </c>
      <c r="B70" s="10" t="s">
        <v>90</v>
      </c>
      <c r="C70" s="18"/>
      <c r="D70" s="18"/>
      <c r="E70" s="15"/>
      <c r="F70" s="63">
        <v>1</v>
      </c>
      <c r="G70" s="55">
        <f t="shared" si="2"/>
        <v>0</v>
      </c>
      <c r="H70" s="55">
        <f>IF(C70="x",65,IF(D70="x",65*2,0))+IF(E70&gt;"",CODE(E70)+LEN(E70),0)</f>
        <v>0</v>
      </c>
    </row>
    <row r="71" spans="1:8" ht="24" x14ac:dyDescent="0.2">
      <c r="A71" s="9" t="s">
        <v>93</v>
      </c>
      <c r="B71" s="10" t="s">
        <v>92</v>
      </c>
      <c r="C71" s="18"/>
      <c r="D71" s="18"/>
      <c r="E71" s="15"/>
      <c r="F71" s="63">
        <v>1</v>
      </c>
      <c r="G71" s="55">
        <f t="shared" si="2"/>
        <v>0</v>
      </c>
      <c r="H71" s="55">
        <f>IF(C71="x",66,IF(D71="x",66*2,0))+IF(E71&gt;"",CODE(E71)+LEN(E71),0)</f>
        <v>0</v>
      </c>
    </row>
    <row r="72" spans="1:8" ht="36.75" x14ac:dyDescent="0.2">
      <c r="A72" s="9" t="s">
        <v>364</v>
      </c>
      <c r="B72" s="10" t="s">
        <v>94</v>
      </c>
      <c r="C72" s="18"/>
      <c r="D72" s="18"/>
      <c r="E72" s="15"/>
      <c r="F72" s="63">
        <v>1</v>
      </c>
      <c r="G72" s="55">
        <f t="shared" si="2"/>
        <v>0</v>
      </c>
      <c r="H72" s="55">
        <f>IF(C72="x",67,IF(D72="x",67*2,0))+IF(E72&gt;"",CODE(E72)+LEN(E72),0)</f>
        <v>0</v>
      </c>
    </row>
    <row r="73" spans="1:8" ht="28.5" x14ac:dyDescent="0.2">
      <c r="A73" s="5">
        <v>7</v>
      </c>
      <c r="B73" s="6" t="s">
        <v>95</v>
      </c>
      <c r="C73" s="12" t="s">
        <v>67</v>
      </c>
      <c r="D73" s="12" t="s">
        <v>68</v>
      </c>
      <c r="E73" s="12" t="s">
        <v>8</v>
      </c>
      <c r="F73" s="13"/>
      <c r="G73" s="14"/>
      <c r="H73" s="8">
        <f>SUM(H65:H72)</f>
        <v>0</v>
      </c>
    </row>
    <row r="74" spans="1:8" ht="36.75" x14ac:dyDescent="0.2">
      <c r="A74" s="9" t="s">
        <v>96</v>
      </c>
      <c r="B74" s="10" t="s">
        <v>97</v>
      </c>
      <c r="C74" s="18"/>
      <c r="D74" s="18"/>
      <c r="E74" s="15"/>
      <c r="F74" s="63">
        <v>1</v>
      </c>
      <c r="G74" s="55">
        <f t="shared" si="2"/>
        <v>0</v>
      </c>
      <c r="H74" s="55">
        <f>IF(C74="x",71,IF(D74="x",71*2,0))+IF(E74&gt;"",CODE(E74)+LEN(E74),0)</f>
        <v>0</v>
      </c>
    </row>
    <row r="75" spans="1:8" ht="24" x14ac:dyDescent="0.2">
      <c r="A75" s="9" t="s">
        <v>98</v>
      </c>
      <c r="B75" s="10" t="s">
        <v>99</v>
      </c>
      <c r="C75" s="18"/>
      <c r="D75" s="18"/>
      <c r="E75" s="15"/>
      <c r="F75" s="63">
        <v>1</v>
      </c>
      <c r="G75" s="55">
        <f t="shared" si="2"/>
        <v>0</v>
      </c>
      <c r="H75" s="55">
        <f>IF(C75="x",72,IF(D75="x",72*2,0))+IF(E75&gt;"",CODE(E75)+LEN(E75),0)</f>
        <v>0</v>
      </c>
    </row>
    <row r="76" spans="1:8" ht="48" x14ac:dyDescent="0.2">
      <c r="A76" s="9" t="s">
        <v>100</v>
      </c>
      <c r="B76" s="10" t="s">
        <v>101</v>
      </c>
      <c r="C76" s="18"/>
      <c r="D76" s="18"/>
      <c r="E76" s="15"/>
      <c r="F76" s="63">
        <v>2</v>
      </c>
      <c r="G76" s="55">
        <f t="shared" si="2"/>
        <v>0</v>
      </c>
      <c r="H76" s="55">
        <f>IF(C76="x",73,IF(D76="x",73*2,0))+IF(E76&gt;"",CODE(E76)+LEN(E76),0)</f>
        <v>0</v>
      </c>
    </row>
    <row r="77" spans="1:8" ht="88.5" customHeight="1" x14ac:dyDescent="0.2">
      <c r="A77" s="9" t="s">
        <v>102</v>
      </c>
      <c r="B77" s="10" t="s">
        <v>103</v>
      </c>
      <c r="C77" s="18"/>
      <c r="D77" s="18"/>
      <c r="E77" s="15"/>
      <c r="F77" s="63">
        <v>1</v>
      </c>
      <c r="G77" s="55">
        <f t="shared" si="2"/>
        <v>0</v>
      </c>
      <c r="H77" s="55">
        <f>IF(C77="x",74,IF(D77="x",74*2,0))+IF(E77&gt;"",CODE(E77)+LEN(E77),0)</f>
        <v>0</v>
      </c>
    </row>
    <row r="78" spans="1:8" ht="24" x14ac:dyDescent="0.2">
      <c r="A78" s="9" t="s">
        <v>104</v>
      </c>
      <c r="B78" s="10" t="s">
        <v>105</v>
      </c>
      <c r="C78" s="18"/>
      <c r="D78" s="18"/>
      <c r="E78" s="15"/>
      <c r="F78" s="63">
        <v>1</v>
      </c>
      <c r="G78" s="55">
        <f t="shared" si="2"/>
        <v>0</v>
      </c>
      <c r="H78" s="55">
        <f>IF(C78="x",75,IF(D78="x",75*2,0))+IF(E78&gt;"",CODE(E78)+LEN(E78),0)</f>
        <v>0</v>
      </c>
    </row>
    <row r="79" spans="1:8" ht="36.75" x14ac:dyDescent="0.2">
      <c r="A79" s="9" t="s">
        <v>106</v>
      </c>
      <c r="B79" s="10" t="s">
        <v>107</v>
      </c>
      <c r="C79" s="18"/>
      <c r="D79" s="18"/>
      <c r="E79" s="15"/>
      <c r="F79" s="63">
        <v>1</v>
      </c>
      <c r="G79" s="55">
        <f t="shared" si="2"/>
        <v>0</v>
      </c>
      <c r="H79" s="55">
        <f>IF(C79="x",76,IF(D79="x",76*2,0))+IF(E79&gt;"",CODE(E79)+LEN(E79),0)</f>
        <v>0</v>
      </c>
    </row>
    <row r="80" spans="1:8" ht="36.75" x14ac:dyDescent="0.2">
      <c r="A80" s="9" t="s">
        <v>108</v>
      </c>
      <c r="B80" s="10" t="s">
        <v>109</v>
      </c>
      <c r="C80" s="18"/>
      <c r="D80" s="18"/>
      <c r="E80" s="15"/>
      <c r="F80" s="63">
        <v>1</v>
      </c>
      <c r="G80" s="55">
        <f t="shared" si="2"/>
        <v>0</v>
      </c>
      <c r="H80" s="55">
        <f>IF(C80="x",77,IF(D80="x",77*2,0))+IF(E80&gt;"",CODE(E80)+LEN(E80),0)</f>
        <v>0</v>
      </c>
    </row>
    <row r="81" spans="1:8" ht="51" customHeight="1" x14ac:dyDescent="0.2">
      <c r="A81" s="9" t="s">
        <v>110</v>
      </c>
      <c r="B81" s="10" t="s">
        <v>111</v>
      </c>
      <c r="C81" s="18"/>
      <c r="D81" s="18"/>
      <c r="E81" s="15"/>
      <c r="F81" s="63">
        <v>1</v>
      </c>
      <c r="G81" s="55">
        <f t="shared" si="2"/>
        <v>0</v>
      </c>
      <c r="H81" s="55">
        <f>IF(C81="x",78,IF(D81="x",78*2,0))+IF(E81&gt;"",CODE(E81)+LEN(E81),0)</f>
        <v>0</v>
      </c>
    </row>
    <row r="82" spans="1:8" ht="27" customHeight="1" x14ac:dyDescent="0.2">
      <c r="A82" s="38" t="s">
        <v>112</v>
      </c>
      <c r="B82" s="16" t="s">
        <v>113</v>
      </c>
      <c r="C82" s="39"/>
      <c r="D82" s="39"/>
      <c r="E82" s="41"/>
      <c r="F82" s="65">
        <v>1</v>
      </c>
      <c r="G82" s="58">
        <f>IF(C82="X",F82,0)</f>
        <v>0</v>
      </c>
      <c r="H82" s="58">
        <f>IF(C82="x",790,IF(D82="x",790*2,0))</f>
        <v>0</v>
      </c>
    </row>
    <row r="83" spans="1:8" ht="23.25" customHeight="1" x14ac:dyDescent="0.2">
      <c r="A83" s="9" t="s">
        <v>114</v>
      </c>
      <c r="B83" s="16" t="s">
        <v>115</v>
      </c>
      <c r="C83" s="39"/>
      <c r="D83" s="40"/>
      <c r="E83" s="41"/>
      <c r="F83" s="65">
        <v>1</v>
      </c>
      <c r="G83" s="58">
        <f>IF(C83="X",F83,0)</f>
        <v>0</v>
      </c>
      <c r="H83" s="58">
        <f>IF(C83="x",791,IF(D83="x",791*2,0))</f>
        <v>0</v>
      </c>
    </row>
    <row r="84" spans="1:8" ht="23.25" customHeight="1" x14ac:dyDescent="0.2">
      <c r="A84" s="9" t="s">
        <v>116</v>
      </c>
      <c r="B84" s="16" t="s">
        <v>117</v>
      </c>
      <c r="C84" s="39"/>
      <c r="D84" s="39"/>
      <c r="E84" s="41"/>
      <c r="F84" s="65">
        <v>1</v>
      </c>
      <c r="G84" s="58">
        <f>IF(C84="X",F84,0)</f>
        <v>0</v>
      </c>
      <c r="H84" s="58">
        <f>IF(C84="x",792,IF(D84="x",792*2,0))</f>
        <v>0</v>
      </c>
    </row>
    <row r="85" spans="1:8" ht="26.25" customHeight="1" x14ac:dyDescent="0.2">
      <c r="A85" s="38" t="s">
        <v>118</v>
      </c>
      <c r="B85" s="16" t="s">
        <v>119</v>
      </c>
      <c r="C85" s="39"/>
      <c r="D85" s="39"/>
      <c r="E85" s="41"/>
      <c r="F85" s="65">
        <v>1</v>
      </c>
      <c r="G85" s="58">
        <f>IF(C85="X",F85,0)</f>
        <v>0</v>
      </c>
      <c r="H85" s="58">
        <f>IF(C85="x",793,IF(D85="x",793*2,0))</f>
        <v>0</v>
      </c>
    </row>
    <row r="86" spans="1:8" ht="28.5" x14ac:dyDescent="0.2">
      <c r="A86" s="5">
        <v>8</v>
      </c>
      <c r="B86" s="6" t="s">
        <v>120</v>
      </c>
      <c r="C86" s="12" t="s">
        <v>67</v>
      </c>
      <c r="D86" s="12" t="s">
        <v>68</v>
      </c>
      <c r="E86" s="12" t="s">
        <v>8</v>
      </c>
      <c r="F86" s="13"/>
      <c r="G86" s="14"/>
      <c r="H86" s="8">
        <f>SUM(H74:H85)</f>
        <v>0</v>
      </c>
    </row>
    <row r="87" spans="1:8" ht="88.5" customHeight="1" x14ac:dyDescent="0.2">
      <c r="A87" s="9" t="s">
        <v>121</v>
      </c>
      <c r="B87" s="10" t="s">
        <v>122</v>
      </c>
      <c r="C87" s="18"/>
      <c r="D87" s="18"/>
      <c r="E87" s="15"/>
      <c r="F87" s="63">
        <v>2</v>
      </c>
      <c r="G87" s="55">
        <f t="shared" si="2"/>
        <v>0</v>
      </c>
      <c r="H87" s="55">
        <f>IF(C87="x",81,IF(D87="x",81*2,0))+IF(E87&gt;"",CODE(E87)+LEN(E87),0)</f>
        <v>0</v>
      </c>
    </row>
    <row r="88" spans="1:8" ht="113.25" customHeight="1" x14ac:dyDescent="0.2">
      <c r="A88" s="9" t="s">
        <v>123</v>
      </c>
      <c r="B88" s="10" t="s">
        <v>124</v>
      </c>
      <c r="C88" s="18"/>
      <c r="D88" s="18"/>
      <c r="E88" s="15"/>
      <c r="F88" s="63">
        <v>1</v>
      </c>
      <c r="G88" s="55">
        <f t="shared" si="2"/>
        <v>0</v>
      </c>
      <c r="H88" s="55">
        <f>IF(C88="x",82,IF(D88="x",82*2,0))+IF(E88&gt;"",CODE(E88)+LEN(E88),0)</f>
        <v>0</v>
      </c>
    </row>
    <row r="89" spans="1:8" ht="68.25" customHeight="1" x14ac:dyDescent="0.2">
      <c r="A89" s="9" t="s">
        <v>125</v>
      </c>
      <c r="B89" s="10" t="s">
        <v>380</v>
      </c>
      <c r="C89" s="18"/>
      <c r="D89" s="18"/>
      <c r="E89" s="15"/>
      <c r="F89" s="63">
        <v>2</v>
      </c>
      <c r="G89" s="55">
        <f t="shared" si="2"/>
        <v>0</v>
      </c>
      <c r="H89" s="55">
        <f>IF(C89="x",83,IF(D89="x",83*2,0))+IF(E89&gt;"",CODE(E89)+LEN(E89),0)</f>
        <v>0</v>
      </c>
    </row>
    <row r="90" spans="1:8" ht="89.25" customHeight="1" x14ac:dyDescent="0.2">
      <c r="A90" s="9" t="s">
        <v>126</v>
      </c>
      <c r="B90" s="10" t="s">
        <v>127</v>
      </c>
      <c r="C90" s="18"/>
      <c r="D90" s="18"/>
      <c r="E90" s="15"/>
      <c r="F90" s="63">
        <v>1</v>
      </c>
      <c r="G90" s="55">
        <f t="shared" si="2"/>
        <v>0</v>
      </c>
      <c r="H90" s="55">
        <f>IF(C90="x",84,IF(D90="x",84*2,0))+IF(E90&gt;"",CODE(E90)+LEN(E90),0)</f>
        <v>0</v>
      </c>
    </row>
    <row r="91" spans="1:8" ht="55.5" customHeight="1" x14ac:dyDescent="0.2">
      <c r="A91" s="9" t="s">
        <v>128</v>
      </c>
      <c r="B91" s="10" t="s">
        <v>381</v>
      </c>
      <c r="C91" s="18"/>
      <c r="D91" s="18"/>
      <c r="E91" s="15"/>
      <c r="F91" s="63">
        <v>2</v>
      </c>
      <c r="G91" s="55">
        <f t="shared" si="2"/>
        <v>0</v>
      </c>
      <c r="H91" s="55">
        <f>IF(C91="x",85,IF(D91="x",85*2,0))+IF(E91&gt;"",CODE(E91)+LEN(E91),0)</f>
        <v>0</v>
      </c>
    </row>
    <row r="92" spans="1:8" ht="49.5" x14ac:dyDescent="0.2">
      <c r="A92" s="9" t="s">
        <v>129</v>
      </c>
      <c r="B92" s="10" t="s">
        <v>130</v>
      </c>
      <c r="C92" s="18"/>
      <c r="D92" s="18"/>
      <c r="E92" s="15"/>
      <c r="F92" s="63">
        <v>1</v>
      </c>
      <c r="G92" s="55">
        <f t="shared" si="2"/>
        <v>0</v>
      </c>
      <c r="H92" s="55">
        <f>IF(C92="x",86,IF(D92="x",86*2,0))+IF(E92&gt;"",CODE(E92)+LEN(E92),0)</f>
        <v>0</v>
      </c>
    </row>
    <row r="93" spans="1:8" ht="43.5" customHeight="1" x14ac:dyDescent="0.2">
      <c r="A93" s="9" t="s">
        <v>131</v>
      </c>
      <c r="B93" s="10" t="s">
        <v>132</v>
      </c>
      <c r="C93" s="18"/>
      <c r="D93" s="18"/>
      <c r="E93" s="15"/>
      <c r="F93" s="63">
        <v>1</v>
      </c>
      <c r="G93" s="55">
        <f t="shared" si="2"/>
        <v>0</v>
      </c>
      <c r="H93" s="55">
        <f>IF(C93="x",87,IF(D93="x",87*2,0))+IF(E93&gt;"",CODE(E93)+LEN(E93),0)</f>
        <v>0</v>
      </c>
    </row>
    <row r="94" spans="1:8" ht="163.5" customHeight="1" x14ac:dyDescent="0.2">
      <c r="A94" s="35" t="s">
        <v>344</v>
      </c>
      <c r="B94" s="35" t="s">
        <v>419</v>
      </c>
      <c r="C94" s="18"/>
      <c r="D94" s="18"/>
      <c r="E94" s="15"/>
      <c r="F94" s="65">
        <v>1</v>
      </c>
      <c r="G94" s="58">
        <f t="shared" ref="G94" si="3">IF(C94="X",F94,0)</f>
        <v>0</v>
      </c>
      <c r="H94" s="58">
        <f>IF(C94="x",87,IF(D94="x",87*2,0))+IF(E94&gt;"",CODE(E94)+LEN(E94),0)</f>
        <v>0</v>
      </c>
    </row>
    <row r="95" spans="1:8" ht="41.25" x14ac:dyDescent="0.2">
      <c r="A95" s="5">
        <v>9</v>
      </c>
      <c r="B95" s="6" t="s">
        <v>133</v>
      </c>
      <c r="C95" s="12" t="s">
        <v>67</v>
      </c>
      <c r="D95" s="12" t="s">
        <v>68</v>
      </c>
      <c r="E95" s="12" t="s">
        <v>8</v>
      </c>
      <c r="F95" s="13"/>
      <c r="G95" s="14"/>
      <c r="H95" s="8">
        <f>SUM(H87:H94)</f>
        <v>0</v>
      </c>
    </row>
    <row r="96" spans="1:8" ht="47.25" customHeight="1" x14ac:dyDescent="0.2">
      <c r="A96" s="9" t="s">
        <v>134</v>
      </c>
      <c r="B96" s="10" t="s">
        <v>135</v>
      </c>
      <c r="C96" s="18"/>
      <c r="D96" s="18"/>
      <c r="E96" s="15"/>
      <c r="F96" s="63">
        <v>1</v>
      </c>
      <c r="G96" s="55">
        <f t="shared" si="2"/>
        <v>0</v>
      </c>
      <c r="H96" s="55">
        <f>IF(C96="x",91,IF(D96="x",91*2,0))+IF(E96&gt;"",CODE(E96)+LEN(E96),0)</f>
        <v>0</v>
      </c>
    </row>
    <row r="97" spans="1:8" ht="30.75" customHeight="1" x14ac:dyDescent="0.2">
      <c r="A97" s="9" t="s">
        <v>136</v>
      </c>
      <c r="B97" s="10" t="s">
        <v>137</v>
      </c>
      <c r="C97" s="18"/>
      <c r="D97" s="18"/>
      <c r="E97" s="15"/>
      <c r="F97" s="63">
        <v>1</v>
      </c>
      <c r="G97" s="55">
        <f t="shared" si="2"/>
        <v>0</v>
      </c>
      <c r="H97" s="55">
        <f>IF(C97="x",92,IF(D97="x",92*2,0))+IF(E97&gt;"",CODE(E97)+LEN(E97),0)</f>
        <v>0</v>
      </c>
    </row>
    <row r="98" spans="1:8" ht="91.5" customHeight="1" x14ac:dyDescent="0.2">
      <c r="A98" s="9" t="s">
        <v>138</v>
      </c>
      <c r="B98" s="10" t="s">
        <v>382</v>
      </c>
      <c r="C98" s="18"/>
      <c r="D98" s="18"/>
      <c r="E98" s="15"/>
      <c r="F98" s="63">
        <v>1</v>
      </c>
      <c r="G98" s="55">
        <f t="shared" si="2"/>
        <v>0</v>
      </c>
      <c r="H98" s="55">
        <f>IF(C98="x",93,IF(D98="x",93*2,0))+IF(E98&gt;"",CODE(E98)+LEN(E98),0)</f>
        <v>0</v>
      </c>
    </row>
    <row r="99" spans="1:8" ht="48" x14ac:dyDescent="0.2">
      <c r="A99" s="9" t="s">
        <v>139</v>
      </c>
      <c r="B99" s="10" t="s">
        <v>140</v>
      </c>
      <c r="C99" s="18"/>
      <c r="D99" s="18"/>
      <c r="E99" s="15"/>
      <c r="F99" s="63">
        <v>1</v>
      </c>
      <c r="G99" s="55">
        <f t="shared" si="2"/>
        <v>0</v>
      </c>
      <c r="H99" s="55">
        <f>IF(C99="x",94,IF(D99="x",94*2,0))+IF(E99&gt;"",CODE(E99)+LEN(E99),0)</f>
        <v>0</v>
      </c>
    </row>
    <row r="100" spans="1:8" ht="100.5" customHeight="1" x14ac:dyDescent="0.2">
      <c r="A100" s="9" t="s">
        <v>326</v>
      </c>
      <c r="B100" s="10" t="s">
        <v>141</v>
      </c>
      <c r="C100" s="18"/>
      <c r="D100" s="18"/>
      <c r="E100" s="15"/>
      <c r="F100" s="63">
        <v>1</v>
      </c>
      <c r="G100" s="55">
        <f t="shared" si="2"/>
        <v>0</v>
      </c>
      <c r="H100" s="55">
        <f>IF(C100="x",95,IF(D100="x",95*2,0))+IF(E100&gt;"",CODE(E100)+LEN(E100),0)</f>
        <v>0</v>
      </c>
    </row>
    <row r="101" spans="1:8" ht="72" x14ac:dyDescent="0.2">
      <c r="A101" s="9" t="s">
        <v>142</v>
      </c>
      <c r="B101" s="10" t="s">
        <v>143</v>
      </c>
      <c r="C101" s="15"/>
      <c r="D101" s="15"/>
      <c r="E101" s="15"/>
      <c r="F101" s="63">
        <v>1</v>
      </c>
      <c r="G101" s="55">
        <f t="shared" si="2"/>
        <v>0</v>
      </c>
      <c r="H101" s="55">
        <f>IF(C101="x",96,IF(D101="x",96*2,0))+IF(E101&gt;"",CODE(E101)+LEN(E101),0)</f>
        <v>0</v>
      </c>
    </row>
    <row r="102" spans="1:8" ht="48" x14ac:dyDescent="0.2">
      <c r="A102" s="9" t="s">
        <v>144</v>
      </c>
      <c r="B102" s="10" t="s">
        <v>145</v>
      </c>
      <c r="C102" s="15"/>
      <c r="D102" s="15"/>
      <c r="E102" s="15"/>
      <c r="F102" s="63">
        <v>1</v>
      </c>
      <c r="G102" s="55">
        <f t="shared" si="2"/>
        <v>0</v>
      </c>
      <c r="H102" s="55">
        <f>IF(C102="x",97,IF(D102="x",97*2,0))+IF(E102&gt;"",CODE(E102)+LEN(E102),0)</f>
        <v>0</v>
      </c>
    </row>
    <row r="103" spans="1:8" ht="36.75" x14ac:dyDescent="0.2">
      <c r="A103" s="9" t="s">
        <v>146</v>
      </c>
      <c r="B103" s="10" t="s">
        <v>383</v>
      </c>
      <c r="C103" s="15"/>
      <c r="D103" s="15"/>
      <c r="E103" s="15"/>
      <c r="F103" s="63">
        <v>1</v>
      </c>
      <c r="G103" s="55">
        <f t="shared" ref="G103" si="4">IF(C103="X",F103,0)</f>
        <v>0</v>
      </c>
      <c r="H103" s="55">
        <f>IF(C103="x",98,IF(D103="x",98*2,0))+IF(E103&gt;"",CODE(E103)+LEN(E103),0)</f>
        <v>0</v>
      </c>
    </row>
    <row r="104" spans="1:8" ht="15.75" x14ac:dyDescent="0.2">
      <c r="A104" s="5">
        <v>10</v>
      </c>
      <c r="B104" s="6" t="s">
        <v>147</v>
      </c>
      <c r="C104" s="12" t="s">
        <v>67</v>
      </c>
      <c r="D104" s="12" t="s">
        <v>68</v>
      </c>
      <c r="E104" s="12" t="s">
        <v>8</v>
      </c>
      <c r="F104" s="13"/>
      <c r="G104" s="14"/>
      <c r="H104" s="8">
        <f>SUM(H96:H103)</f>
        <v>0</v>
      </c>
    </row>
    <row r="105" spans="1:8" ht="72" x14ac:dyDescent="0.2">
      <c r="A105" s="9" t="s">
        <v>148</v>
      </c>
      <c r="B105" s="10" t="s">
        <v>384</v>
      </c>
      <c r="C105" s="15"/>
      <c r="D105" s="15"/>
      <c r="E105" s="15"/>
      <c r="F105" s="63">
        <v>2</v>
      </c>
      <c r="G105" s="55">
        <f t="shared" si="2"/>
        <v>0</v>
      </c>
      <c r="H105" s="55">
        <f>IF(C105="x",101,IF(D105="x",101*2,0))+IF(E105&gt;"",CODE(E105)+LEN(E105),0)</f>
        <v>0</v>
      </c>
    </row>
    <row r="106" spans="1:8" ht="75" customHeight="1" x14ac:dyDescent="0.2">
      <c r="A106" s="9" t="s">
        <v>149</v>
      </c>
      <c r="B106" s="10" t="s">
        <v>150</v>
      </c>
      <c r="C106" s="87"/>
      <c r="D106" s="87"/>
      <c r="E106" s="87"/>
      <c r="F106" s="66"/>
      <c r="G106" s="66"/>
      <c r="H106" s="55">
        <f t="shared" ref="H106" si="5">IF(C106&gt;"",CODE(C106)+LEN(C106),0)</f>
        <v>0</v>
      </c>
    </row>
    <row r="107" spans="1:8" ht="48" x14ac:dyDescent="0.2">
      <c r="A107" s="9" t="s">
        <v>151</v>
      </c>
      <c r="B107" s="10" t="s">
        <v>152</v>
      </c>
      <c r="C107" s="15"/>
      <c r="D107" s="15"/>
      <c r="E107" s="15"/>
      <c r="F107" s="63">
        <v>1</v>
      </c>
      <c r="G107" s="55">
        <f t="shared" si="2"/>
        <v>0</v>
      </c>
      <c r="H107" s="55">
        <f>IF(C107="x",103,IF(D107="x",103*2,0))+IF(E107&gt;"",CODE(E107)+LEN(E107),0)</f>
        <v>0</v>
      </c>
    </row>
    <row r="108" spans="1:8" ht="15.75" x14ac:dyDescent="0.2">
      <c r="A108" s="5">
        <v>11</v>
      </c>
      <c r="B108" s="6" t="s">
        <v>153</v>
      </c>
      <c r="C108" s="90" t="s">
        <v>8</v>
      </c>
      <c r="D108" s="90"/>
      <c r="E108" s="90"/>
      <c r="F108" s="13"/>
      <c r="G108" s="14"/>
      <c r="H108" s="8">
        <f>SUM(H105:H107)</f>
        <v>0</v>
      </c>
    </row>
    <row r="109" spans="1:8" ht="36.75" x14ac:dyDescent="0.2">
      <c r="A109" s="9" t="s">
        <v>154</v>
      </c>
      <c r="B109" s="10" t="s">
        <v>155</v>
      </c>
      <c r="C109" s="87"/>
      <c r="D109" s="87"/>
      <c r="E109" s="87"/>
      <c r="F109" s="66"/>
      <c r="G109" s="66"/>
      <c r="H109" s="55">
        <f t="shared" ref="H109:H111" si="6">IF(C109&gt;"",CODE(C109)+LEN(C109),0)</f>
        <v>0</v>
      </c>
    </row>
    <row r="110" spans="1:8" ht="25.5" x14ac:dyDescent="0.2">
      <c r="A110" s="9" t="s">
        <v>156</v>
      </c>
      <c r="B110" s="10" t="s">
        <v>157</v>
      </c>
      <c r="C110" s="87"/>
      <c r="D110" s="87"/>
      <c r="E110" s="87"/>
      <c r="F110" s="66"/>
      <c r="G110" s="66"/>
      <c r="H110" s="55">
        <f t="shared" si="6"/>
        <v>0</v>
      </c>
    </row>
    <row r="111" spans="1:8" ht="48" x14ac:dyDescent="0.2">
      <c r="A111" s="9" t="s">
        <v>158</v>
      </c>
      <c r="B111" s="10" t="s">
        <v>159</v>
      </c>
      <c r="C111" s="87"/>
      <c r="D111" s="87"/>
      <c r="E111" s="87"/>
      <c r="F111" s="66"/>
      <c r="G111" s="66"/>
      <c r="H111" s="55">
        <f t="shared" si="6"/>
        <v>0</v>
      </c>
    </row>
    <row r="112" spans="1:8" ht="44.25" x14ac:dyDescent="0.2">
      <c r="A112" s="5">
        <v>12</v>
      </c>
      <c r="B112" s="17" t="s">
        <v>160</v>
      </c>
      <c r="C112" s="12" t="s">
        <v>67</v>
      </c>
      <c r="D112" s="12" t="s">
        <v>68</v>
      </c>
      <c r="E112" s="12" t="s">
        <v>8</v>
      </c>
      <c r="F112" s="13"/>
      <c r="G112" s="14"/>
      <c r="H112" s="8">
        <f>SUM(H109:H111)</f>
        <v>0</v>
      </c>
    </row>
    <row r="113" spans="1:8" ht="48" x14ac:dyDescent="0.2">
      <c r="A113" s="9" t="s">
        <v>161</v>
      </c>
      <c r="B113" s="10" t="s">
        <v>162</v>
      </c>
      <c r="C113" s="15"/>
      <c r="D113" s="15"/>
      <c r="E113" s="15"/>
      <c r="F113" s="63">
        <v>1</v>
      </c>
      <c r="G113" s="55">
        <f t="shared" si="2"/>
        <v>0</v>
      </c>
      <c r="H113" s="55">
        <f>IF(C113="x",121,IF(D113="x",121*2,0))+IF(E113&gt;"",CODE(E113)+LEN(E113),0)</f>
        <v>0</v>
      </c>
    </row>
    <row r="114" spans="1:8" ht="60.75" x14ac:dyDescent="0.2">
      <c r="A114" s="9" t="s">
        <v>163</v>
      </c>
      <c r="B114" s="10" t="s">
        <v>164</v>
      </c>
      <c r="C114" s="15"/>
      <c r="D114" s="15"/>
      <c r="E114" s="15"/>
      <c r="F114" s="63">
        <v>1</v>
      </c>
      <c r="G114" s="55">
        <f t="shared" si="2"/>
        <v>0</v>
      </c>
      <c r="H114" s="55">
        <f>IF(C114="x",122,IF(D114="x",122*2,0))+IF(E114&gt;"",CODE(E114)+LEN(E114),0)</f>
        <v>0</v>
      </c>
    </row>
    <row r="115" spans="1:8" ht="48" x14ac:dyDescent="0.2">
      <c r="A115" s="9" t="s">
        <v>165</v>
      </c>
      <c r="B115" s="10" t="s">
        <v>166</v>
      </c>
      <c r="C115" s="15"/>
      <c r="D115" s="15"/>
      <c r="E115" s="15"/>
      <c r="F115" s="63">
        <v>1</v>
      </c>
      <c r="G115" s="55">
        <f t="shared" si="2"/>
        <v>0</v>
      </c>
      <c r="H115" s="55">
        <f>IF(C115="x",123,IF(D115="x",123*2,0))+IF(E115&gt;"",CODE(E115)+LEN(E115),0)</f>
        <v>0</v>
      </c>
    </row>
    <row r="116" spans="1:8" ht="60.75" x14ac:dyDescent="0.2">
      <c r="A116" s="9" t="s">
        <v>167</v>
      </c>
      <c r="B116" s="10" t="s">
        <v>168</v>
      </c>
      <c r="C116" s="15"/>
      <c r="D116" s="15"/>
      <c r="E116" s="15"/>
      <c r="F116" s="63">
        <v>1</v>
      </c>
      <c r="G116" s="55">
        <f t="shared" si="2"/>
        <v>0</v>
      </c>
      <c r="H116" s="55">
        <f>IF(C116="x",124,IF(D116="x",124*2,0))+IF(E116&gt;"",CODE(E116)+LEN(E116),0)</f>
        <v>0</v>
      </c>
    </row>
    <row r="117" spans="1:8" ht="15.75" x14ac:dyDescent="0.2">
      <c r="A117" s="5">
        <v>13</v>
      </c>
      <c r="B117" s="6" t="s">
        <v>330</v>
      </c>
      <c r="C117" s="12" t="s">
        <v>67</v>
      </c>
      <c r="D117" s="12" t="s">
        <v>68</v>
      </c>
      <c r="E117" s="12" t="s">
        <v>8</v>
      </c>
      <c r="F117" s="19"/>
      <c r="G117" s="19"/>
      <c r="H117" s="8">
        <f>SUM(H113:H116)</f>
        <v>0</v>
      </c>
    </row>
    <row r="118" spans="1:8" ht="108.75" x14ac:dyDescent="0.2">
      <c r="A118" s="9" t="s">
        <v>169</v>
      </c>
      <c r="B118" s="10" t="s">
        <v>331</v>
      </c>
      <c r="C118" s="15"/>
      <c r="D118" s="15"/>
      <c r="E118" s="15"/>
      <c r="F118" s="63">
        <v>2</v>
      </c>
      <c r="G118" s="55">
        <f t="shared" si="2"/>
        <v>0</v>
      </c>
      <c r="H118" s="55">
        <f>IF(C118="x",131,IF(D118="x",131*2,0))+IF(E118&gt;"",CODE(E118)+LEN(E118),0)</f>
        <v>0</v>
      </c>
    </row>
    <row r="119" spans="1:8" ht="24" x14ac:dyDescent="0.2">
      <c r="A119" s="9" t="s">
        <v>170</v>
      </c>
      <c r="B119" s="10" t="s">
        <v>332</v>
      </c>
      <c r="C119" s="15"/>
      <c r="D119" s="15"/>
      <c r="E119" s="15"/>
      <c r="F119" s="63">
        <v>1</v>
      </c>
      <c r="G119" s="55">
        <f t="shared" si="2"/>
        <v>0</v>
      </c>
      <c r="H119" s="55">
        <f>IF(C119="x",132,IF(D119="x",132*2,0))+IF(E119&gt;"",CODE(E119)+LEN(E119),0)</f>
        <v>0</v>
      </c>
    </row>
    <row r="120" spans="1:8" ht="24" x14ac:dyDescent="0.2">
      <c r="A120" s="9" t="s">
        <v>171</v>
      </c>
      <c r="B120" s="10" t="s">
        <v>333</v>
      </c>
      <c r="C120" s="15"/>
      <c r="D120" s="15"/>
      <c r="E120" s="15"/>
      <c r="F120" s="63">
        <v>2</v>
      </c>
      <c r="G120" s="55">
        <f t="shared" si="2"/>
        <v>0</v>
      </c>
      <c r="H120" s="55">
        <f>IF(C120="x",133,IF(D120="x",133*2,0))+IF(E120&gt;"",CODE(E120)+LEN(E120),0)</f>
        <v>0</v>
      </c>
    </row>
    <row r="121" spans="1:8" ht="72" x14ac:dyDescent="0.2">
      <c r="A121" s="9" t="s">
        <v>172</v>
      </c>
      <c r="B121" s="10" t="s">
        <v>334</v>
      </c>
      <c r="C121" s="15"/>
      <c r="D121" s="15"/>
      <c r="E121" s="15"/>
      <c r="F121" s="63">
        <v>1</v>
      </c>
      <c r="G121" s="55">
        <f t="shared" si="2"/>
        <v>0</v>
      </c>
      <c r="H121" s="55">
        <f>IF(C121="x",134,IF(D121="x",134*2,0))+IF(E121&gt;"",CODE(E121)+LEN(E121),0)</f>
        <v>0</v>
      </c>
    </row>
    <row r="122" spans="1:8" ht="72" x14ac:dyDescent="0.2">
      <c r="A122" s="9" t="s">
        <v>173</v>
      </c>
      <c r="B122" s="10" t="s">
        <v>335</v>
      </c>
      <c r="C122" s="15"/>
      <c r="D122" s="15"/>
      <c r="E122" s="15"/>
      <c r="F122" s="63">
        <v>0.5</v>
      </c>
      <c r="G122" s="55">
        <f t="shared" ref="G122:G124" si="7">IF(C122="X",F122,0)</f>
        <v>0</v>
      </c>
      <c r="H122" s="55">
        <f>IF(C122="x",135,IF(D122="x",135*2,0))+IF(E122&gt;"",CODE(E122)+LEN(E122),0)</f>
        <v>0</v>
      </c>
    </row>
    <row r="123" spans="1:8" ht="97.5" x14ac:dyDescent="0.2">
      <c r="A123" s="9" t="s">
        <v>174</v>
      </c>
      <c r="B123" s="10" t="s">
        <v>336</v>
      </c>
      <c r="C123" s="15"/>
      <c r="D123" s="15"/>
      <c r="E123" s="15"/>
      <c r="F123" s="63">
        <v>0.5</v>
      </c>
      <c r="G123" s="55">
        <f t="shared" si="7"/>
        <v>0</v>
      </c>
      <c r="H123" s="55">
        <f>IF(C123="x",136,IF(D123="x",136*2,0))+IF(E123&gt;"",CODE(E123)+LEN(E123),0)</f>
        <v>0</v>
      </c>
    </row>
    <row r="124" spans="1:8" ht="60.75" x14ac:dyDescent="0.2">
      <c r="A124" s="9" t="s">
        <v>175</v>
      </c>
      <c r="B124" s="10" t="s">
        <v>337</v>
      </c>
      <c r="C124" s="15"/>
      <c r="D124" s="15"/>
      <c r="E124" s="15"/>
      <c r="F124" s="63">
        <v>1</v>
      </c>
      <c r="G124" s="55">
        <f t="shared" si="7"/>
        <v>0</v>
      </c>
      <c r="H124" s="55">
        <f>IF(C124="x",137,IF(D124="x",137*2,0))+IF(E124&gt;"",CODE(E124)+LEN(E124),0)</f>
        <v>0</v>
      </c>
    </row>
    <row r="125" spans="1:8" ht="28.5" x14ac:dyDescent="0.2">
      <c r="A125" s="5">
        <v>14</v>
      </c>
      <c r="B125" s="6" t="s">
        <v>176</v>
      </c>
      <c r="C125" s="12" t="s">
        <v>67</v>
      </c>
      <c r="D125" s="12" t="s">
        <v>68</v>
      </c>
      <c r="E125" s="12" t="s">
        <v>8</v>
      </c>
      <c r="F125" s="19">
        <f>SUM(F48:F124)-75-75</f>
        <v>140</v>
      </c>
      <c r="G125" s="20">
        <f>SUM(G48:G124)</f>
        <v>0</v>
      </c>
      <c r="H125" s="8">
        <f>SUM(H118:H124)</f>
        <v>0</v>
      </c>
    </row>
    <row r="126" spans="1:8" ht="60.75" x14ac:dyDescent="0.2">
      <c r="A126" s="9" t="s">
        <v>177</v>
      </c>
      <c r="B126" s="10" t="s">
        <v>178</v>
      </c>
      <c r="C126" s="15"/>
      <c r="D126" s="15"/>
      <c r="E126" s="15"/>
      <c r="F126" s="49" t="s">
        <v>65</v>
      </c>
      <c r="G126" s="50" t="s">
        <v>66</v>
      </c>
      <c r="H126" s="48">
        <f>IF(C126="x",131,IF(D126="x",131*2,0))+IF(E126&gt;"",CODE(E126)+LEN(E126),0)</f>
        <v>0</v>
      </c>
    </row>
    <row r="127" spans="1:8" ht="48" x14ac:dyDescent="0.2">
      <c r="A127" s="9" t="s">
        <v>179</v>
      </c>
      <c r="B127" s="10" t="s">
        <v>180</v>
      </c>
      <c r="C127" s="15"/>
      <c r="D127" s="15"/>
      <c r="E127" s="15"/>
      <c r="F127" s="51" t="s">
        <v>181</v>
      </c>
      <c r="G127" s="52">
        <f>IF(G56=75,G125,G125+' Zutaten Teil2 ohne BRC IFS'!G94)</f>
        <v>0</v>
      </c>
      <c r="H127" s="48">
        <f>IF(C127="x",132,IF(D127="x",132*2,0))+IF(E127&gt;"",CODE(E127)+LEN(E127),0)</f>
        <v>0</v>
      </c>
    </row>
    <row r="128" spans="1:8" ht="21" customHeight="1" x14ac:dyDescent="0.2">
      <c r="A128" s="101" t="str">
        <f>IF(AND(D54="X",D55="X",D56="X"),"Bitte füllen Sie auch im 2. Tabellenreiter Punkt 15-36 aus! / Please fill in the 2nd sheet no. 15-36!","")</f>
        <v/>
      </c>
      <c r="B128" s="101"/>
      <c r="C128" s="101"/>
      <c r="D128" s="101"/>
      <c r="E128" s="101"/>
      <c r="H128" s="8">
        <f>SUM(H126:H127)</f>
        <v>0</v>
      </c>
    </row>
    <row r="129" spans="1:8" ht="154.5" customHeight="1" x14ac:dyDescent="0.2">
      <c r="A129" s="102" t="s">
        <v>182</v>
      </c>
      <c r="B129" s="103"/>
      <c r="C129" s="103"/>
      <c r="D129" s="103"/>
      <c r="E129" s="103"/>
    </row>
    <row r="130" spans="1:8" ht="29.25" customHeight="1" x14ac:dyDescent="0.2">
      <c r="A130" s="104"/>
      <c r="B130" s="104"/>
      <c r="C130" s="105"/>
      <c r="D130" s="105"/>
      <c r="E130" s="105"/>
    </row>
    <row r="131" spans="1:8" ht="33.75" customHeight="1" x14ac:dyDescent="0.2">
      <c r="A131" s="97" t="s">
        <v>183</v>
      </c>
      <c r="B131" s="97"/>
      <c r="C131" s="98" t="s">
        <v>184</v>
      </c>
      <c r="D131" s="98"/>
      <c r="E131" s="99"/>
    </row>
    <row r="134" spans="1:8" x14ac:dyDescent="0.2">
      <c r="A134" s="100" t="str">
        <f>CONCATENATE("Prüfsumme: ",H17," - ",H25," - ",H44," - ",H51," - ",H64," - ",H73," - ",H86," - ",H95," - ",H104," - ",H108," - ",H112," - ",H117," - ",H125," - ",H128)</f>
        <v>Prüfsumme: 0 - 0 - 0 - 0 - 0 - 0 - 0 - 0 - 0 - 0 - 0 - 0 - 0 - 0</v>
      </c>
      <c r="B134" s="100"/>
      <c r="C134" s="100"/>
      <c r="D134" s="100"/>
      <c r="E134" s="100"/>
      <c r="F134" s="21"/>
      <c r="G134" s="21"/>
      <c r="H134" s="21"/>
    </row>
    <row r="135" spans="1:8" x14ac:dyDescent="0.2">
      <c r="B135" s="86" t="s">
        <v>399</v>
      </c>
      <c r="C135" s="86"/>
      <c r="D135" s="86"/>
      <c r="E135" s="86"/>
    </row>
  </sheetData>
  <sheetProtection algorithmName="SHA-512" hashValue="JOIG6PP86fM2iLCAIs/vizyDadacHLJT4+5M3a3oLBmylkgW0+1IV2DzSq0NgqkjcoVAO6l+DWZwzZnV1add3A==" saltValue="8xWEPpTzuj779X8EOxpt9w==" spinCount="100000" sheet="1" objects="1" scenarios="1" formatRows="0" selectLockedCells="1"/>
  <mergeCells count="52">
    <mergeCell ref="A131:B131"/>
    <mergeCell ref="C131:E131"/>
    <mergeCell ref="A134:E134"/>
    <mergeCell ref="C109:E109"/>
    <mergeCell ref="C110:E110"/>
    <mergeCell ref="C111:E111"/>
    <mergeCell ref="A128:E128"/>
    <mergeCell ref="A129:E129"/>
    <mergeCell ref="A130:B130"/>
    <mergeCell ref="C130:E130"/>
    <mergeCell ref="C12:E12"/>
    <mergeCell ref="C45:E45"/>
    <mergeCell ref="C46:E46"/>
    <mergeCell ref="C47:E47"/>
    <mergeCell ref="C16:E16"/>
    <mergeCell ref="C17:E17"/>
    <mergeCell ref="C18:E18"/>
    <mergeCell ref="C19:E19"/>
    <mergeCell ref="C20:E20"/>
    <mergeCell ref="C37:E37"/>
    <mergeCell ref="C24:E24"/>
    <mergeCell ref="C21:E21"/>
    <mergeCell ref="C22:E22"/>
    <mergeCell ref="C23:E23"/>
    <mergeCell ref="C27:E27"/>
    <mergeCell ref="C32:E32"/>
    <mergeCell ref="C7:E7"/>
    <mergeCell ref="C8:E8"/>
    <mergeCell ref="C9:E9"/>
    <mergeCell ref="C10:E10"/>
    <mergeCell ref="C11:E11"/>
    <mergeCell ref="A2:E2"/>
    <mergeCell ref="B3:E3"/>
    <mergeCell ref="C4:E4"/>
    <mergeCell ref="C5:E5"/>
    <mergeCell ref="C6:E6"/>
    <mergeCell ref="A52:E52"/>
    <mergeCell ref="B135:E135"/>
    <mergeCell ref="C14:E14"/>
    <mergeCell ref="C15:E15"/>
    <mergeCell ref="C13:E13"/>
    <mergeCell ref="C57:E57"/>
    <mergeCell ref="C68:E68"/>
    <mergeCell ref="C108:E108"/>
    <mergeCell ref="C106:E106"/>
    <mergeCell ref="C33:E33"/>
    <mergeCell ref="C34:E34"/>
    <mergeCell ref="C35:E35"/>
    <mergeCell ref="C29:E29"/>
    <mergeCell ref="C31:E31"/>
    <mergeCell ref="C43:E43"/>
    <mergeCell ref="C41:E41"/>
  </mergeCells>
  <dataValidations count="2">
    <dataValidation type="list" allowBlank="1" showInputMessage="1" showErrorMessage="1" sqref="C96:D103 C48:D49 C107:D107 C105:D105 C118:D124 C87:D94 D69:D72 D58:D63 C126:D127 C113:D116 C53:C63 D53:D56 C65:C72 D65:D67 C74:D85" xr:uid="{00000000-0002-0000-0100-000000000000}">
      <formula1>$F$2:$F$2</formula1>
    </dataValidation>
    <dataValidation type="textLength" allowBlank="1" showInputMessage="1" showErrorMessage="1" errorTitle="Achtung / attention" error="nicht mehr als 250 Zeichen möglich / not more than 250 characters possible" sqref="E1:E4 E44 C32:E35 D42:E42 E136:E1048576 D40:E40 E58:E67 E69:E81 C37:C43 E48:E49 C45:E47 C5:E24 C26:E27 E25 E28 E36 E86:E134 E51 E53:E56" xr:uid="{00000000-0002-0000-0100-000001000000}">
      <formula1>0</formula1>
      <formula2>250</formula2>
    </dataValidation>
  </dataValidations>
  <printOptions horizontalCentered="1"/>
  <pageMargins left="0.78740157480314965" right="0.78740157480314965" top="1.1811023622047201" bottom="0.59055118110236204" header="0.196850393700787" footer="0.31496062992126"/>
  <pageSetup paperSize="9" scale="89" fitToHeight="15" pageOrder="overThenDown" orientation="portrait" horizontalDpi="300" verticalDpi="300" r:id="rId1"/>
  <headerFooter scaleWithDoc="0">
    <oddHeader>&amp;L&amp;G
&amp;"Arial,Standard"&amp;10Formular | Lieferanten Selbstauditierungsbogen direkte Materialien [de] [en]&amp;R&amp;"Arial,Standard"&amp;10&amp;K000000QM Systems &amp; Food Safety (COE)
FO-ZTR-55514-3
&amp;1&amp;K00+000|21f&amp;1 &amp;K00+000|44f6</oddHeader>
    <oddFooter>&amp;L&amp;"Arial,Standard"&amp;8Ansprechperson: Beckers, Mario&amp;C&amp;"Arial,Standard"&amp;8Freigegeben am 13.06.2023&amp;1&amp;K00+000|21f&amp;R&amp;"Arial,Standard"&amp;8&amp;"Arial,Standard"&amp;8&amp;"Arial,Standard"&amp;9Seite &amp;P von &amp;N&amp;1 &amp;K00+000|44f6</oddFooter>
  </headerFooter>
  <rowBreaks count="6" manualBreakCount="6">
    <brk id="24" max="4" man="1"/>
    <brk id="39" max="4" man="1"/>
    <brk id="49" max="4" man="1"/>
    <brk id="59" max="4" man="1"/>
    <brk id="116" max="4" man="1"/>
    <brk id="124" max="4" man="1"/>
  </rowBreak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/>
  <dimension ref="A2:I96"/>
  <sheetViews>
    <sheetView showGridLines="0" zoomScaleNormal="100" zoomScalePageLayoutView="90" workbookViewId="0">
      <selection activeCell="C67" sqref="C67"/>
    </sheetView>
  </sheetViews>
  <sheetFormatPr baseColWidth="10" defaultRowHeight="12.75" x14ac:dyDescent="0.2"/>
  <cols>
    <col min="1" max="1" width="6.140625" style="32" customWidth="1"/>
    <col min="2" max="2" width="41.5703125" style="29" customWidth="1"/>
    <col min="3" max="3" width="7.7109375" style="33" customWidth="1"/>
    <col min="4" max="4" width="7.7109375" style="27" customWidth="1"/>
    <col min="5" max="5" width="31.85546875" style="27" customWidth="1"/>
    <col min="6" max="6" width="7.28515625" style="33" hidden="1" customWidth="1"/>
    <col min="7" max="7" width="7.28515625" style="27" hidden="1" customWidth="1"/>
    <col min="8" max="8" width="7.5703125" style="27" hidden="1" customWidth="1"/>
    <col min="9" max="9" width="11.42578125" style="27" hidden="1" customWidth="1"/>
    <col min="10" max="16384" width="11.42578125" style="27"/>
  </cols>
  <sheetData>
    <row r="2" spans="1:9" ht="37.5" customHeight="1" x14ac:dyDescent="0.2">
      <c r="A2" s="88" t="s">
        <v>185</v>
      </c>
      <c r="B2" s="88"/>
      <c r="C2" s="88"/>
      <c r="D2" s="88"/>
      <c r="E2" s="88"/>
      <c r="F2" s="25" t="s">
        <v>65</v>
      </c>
      <c r="G2" s="26" t="s">
        <v>66</v>
      </c>
      <c r="H2" s="4" t="s">
        <v>6</v>
      </c>
      <c r="I2" s="27" t="s">
        <v>3</v>
      </c>
    </row>
    <row r="3" spans="1:9" ht="25.5" x14ac:dyDescent="0.2">
      <c r="A3" s="3">
        <v>15</v>
      </c>
      <c r="B3" s="6" t="s">
        <v>186</v>
      </c>
      <c r="C3" s="6" t="s">
        <v>67</v>
      </c>
      <c r="D3" s="6" t="s">
        <v>68</v>
      </c>
      <c r="E3" s="6" t="s">
        <v>8</v>
      </c>
      <c r="F3" s="28"/>
      <c r="G3" s="28"/>
      <c r="H3" s="28"/>
    </row>
    <row r="4" spans="1:9" ht="36.75" x14ac:dyDescent="0.2">
      <c r="A4" s="9" t="s">
        <v>187</v>
      </c>
      <c r="B4" s="10" t="s">
        <v>397</v>
      </c>
      <c r="C4" s="18"/>
      <c r="D4" s="18"/>
      <c r="E4" s="15"/>
      <c r="F4" s="67">
        <v>1</v>
      </c>
      <c r="G4" s="67">
        <f>IF(C4="X",F4,0)</f>
        <v>0</v>
      </c>
      <c r="H4" s="55">
        <f>IF(C4="x",141,IF(D4="x",141*2,0))+IF(E4&gt;"",CODE(E4)+LEN(E4),0)</f>
        <v>0</v>
      </c>
    </row>
    <row r="5" spans="1:9" ht="48" x14ac:dyDescent="0.2">
      <c r="A5" s="9" t="s">
        <v>188</v>
      </c>
      <c r="B5" s="10" t="s">
        <v>189</v>
      </c>
      <c r="C5" s="18"/>
      <c r="D5" s="18"/>
      <c r="E5" s="15"/>
      <c r="F5" s="67">
        <v>1</v>
      </c>
      <c r="G5" s="67">
        <f t="shared" ref="G5:G68" si="0">IF(C5="X",F5,0)</f>
        <v>0</v>
      </c>
      <c r="H5" s="55">
        <f>IF(C5="x",142,IF(D5="x",142*2,0))+IF(E5&gt;"",CODE(E5)+LEN(E5),0)</f>
        <v>0</v>
      </c>
    </row>
    <row r="6" spans="1:9" ht="48" x14ac:dyDescent="0.2">
      <c r="A6" s="9" t="s">
        <v>190</v>
      </c>
      <c r="B6" s="10" t="s">
        <v>191</v>
      </c>
      <c r="C6" s="18"/>
      <c r="D6" s="18"/>
      <c r="E6" s="15"/>
      <c r="F6" s="67">
        <v>1</v>
      </c>
      <c r="G6" s="67">
        <f t="shared" si="0"/>
        <v>0</v>
      </c>
      <c r="H6" s="55">
        <f>IF(C6="x",143,IF(D6="x",143*2,0))+IF(E6&gt;"",CODE(E6)+LEN(E6),0)</f>
        <v>0</v>
      </c>
    </row>
    <row r="7" spans="1:9" ht="31.5" customHeight="1" x14ac:dyDescent="0.2">
      <c r="A7" s="3">
        <v>16</v>
      </c>
      <c r="B7" s="6" t="s">
        <v>192</v>
      </c>
      <c r="C7" s="6" t="s">
        <v>67</v>
      </c>
      <c r="D7" s="6" t="s">
        <v>68</v>
      </c>
      <c r="E7" s="6" t="s">
        <v>8</v>
      </c>
      <c r="F7" s="28"/>
      <c r="G7" s="28"/>
      <c r="H7" s="20">
        <f>SUM(H4:H6)</f>
        <v>0</v>
      </c>
    </row>
    <row r="8" spans="1:9" ht="48" x14ac:dyDescent="0.2">
      <c r="A8" s="9" t="s">
        <v>193</v>
      </c>
      <c r="B8" s="10" t="s">
        <v>396</v>
      </c>
      <c r="C8" s="18"/>
      <c r="D8" s="18"/>
      <c r="E8" s="15"/>
      <c r="F8" s="67">
        <v>2</v>
      </c>
      <c r="G8" s="67">
        <f t="shared" si="0"/>
        <v>0</v>
      </c>
      <c r="H8" s="55">
        <f>IF(C8="x",151,IF(D8="x",151*2,0))+IF(E8&gt;"",CODE(E8)+LEN(E8),0)</f>
        <v>0</v>
      </c>
    </row>
    <row r="9" spans="1:9" ht="88.5" customHeight="1" x14ac:dyDescent="0.2">
      <c r="A9" s="9" t="s">
        <v>194</v>
      </c>
      <c r="B9" s="10" t="s">
        <v>195</v>
      </c>
      <c r="C9" s="18"/>
      <c r="D9" s="18"/>
      <c r="E9" s="15"/>
      <c r="F9" s="67">
        <v>1</v>
      </c>
      <c r="G9" s="67">
        <f t="shared" si="0"/>
        <v>0</v>
      </c>
      <c r="H9" s="55">
        <f>IF(C9="x",152,IF(D9="x",152*2,0))+IF(E9&gt;"",CODE(E9)+LEN(E9),0)</f>
        <v>0</v>
      </c>
    </row>
    <row r="10" spans="1:9" ht="48" x14ac:dyDescent="0.2">
      <c r="A10" s="9" t="s">
        <v>196</v>
      </c>
      <c r="B10" s="10" t="s">
        <v>197</v>
      </c>
      <c r="C10" s="18"/>
      <c r="D10" s="18"/>
      <c r="E10" s="15"/>
      <c r="F10" s="67">
        <v>1</v>
      </c>
      <c r="G10" s="67">
        <f t="shared" si="0"/>
        <v>0</v>
      </c>
      <c r="H10" s="55">
        <f>IF(C10="x",153,IF(D10="x",153*2,0))+IF(E10&gt;"",CODE(E10)+LEN(E10),0)</f>
        <v>0</v>
      </c>
    </row>
    <row r="11" spans="1:9" ht="25.5" x14ac:dyDescent="0.2">
      <c r="A11" s="3">
        <v>17</v>
      </c>
      <c r="B11" s="6" t="s">
        <v>198</v>
      </c>
      <c r="C11" s="6" t="s">
        <v>67</v>
      </c>
      <c r="D11" s="6" t="s">
        <v>68</v>
      </c>
      <c r="E11" s="6" t="s">
        <v>8</v>
      </c>
      <c r="F11" s="28"/>
      <c r="G11" s="28"/>
      <c r="H11" s="20">
        <f>SUM(H8:H10)</f>
        <v>0</v>
      </c>
    </row>
    <row r="12" spans="1:9" ht="35.25" x14ac:dyDescent="0.2">
      <c r="A12" s="9" t="s">
        <v>199</v>
      </c>
      <c r="B12" s="10" t="s">
        <v>395</v>
      </c>
      <c r="C12" s="18"/>
      <c r="D12" s="18"/>
      <c r="E12" s="15"/>
      <c r="F12" s="67">
        <v>2</v>
      </c>
      <c r="G12" s="67">
        <f t="shared" si="0"/>
        <v>0</v>
      </c>
      <c r="H12" s="55">
        <f>IF(C12="x",161,IF(D12="x",161*2,0))+IF(E12&gt;"",CODE(E12)+LEN(E12),0)</f>
        <v>0</v>
      </c>
    </row>
    <row r="13" spans="1:9" ht="36.75" x14ac:dyDescent="0.2">
      <c r="A13" s="9" t="s">
        <v>200</v>
      </c>
      <c r="B13" s="10" t="s">
        <v>201</v>
      </c>
      <c r="C13" s="18"/>
      <c r="D13" s="18"/>
      <c r="E13" s="15"/>
      <c r="F13" s="67">
        <v>1</v>
      </c>
      <c r="G13" s="67">
        <f t="shared" si="0"/>
        <v>0</v>
      </c>
      <c r="H13" s="55">
        <f>IF(C13="x",162,IF(D13="x",162*2,0))+IF(E13&gt;"",CODE(E13)+LEN(E13),0)</f>
        <v>0</v>
      </c>
    </row>
    <row r="14" spans="1:9" ht="48" x14ac:dyDescent="0.2">
      <c r="A14" s="9" t="s">
        <v>202</v>
      </c>
      <c r="B14" s="10" t="s">
        <v>203</v>
      </c>
      <c r="C14" s="18"/>
      <c r="D14" s="18"/>
      <c r="E14" s="15"/>
      <c r="F14" s="67">
        <v>1</v>
      </c>
      <c r="G14" s="67">
        <f t="shared" si="0"/>
        <v>0</v>
      </c>
      <c r="H14" s="55">
        <f>IF(C14="x",163,IF(D14="x",163*2,0))+IF(E14&gt;"",CODE(E14)+LEN(E14),0)</f>
        <v>0</v>
      </c>
    </row>
    <row r="15" spans="1:9" ht="25.5" x14ac:dyDescent="0.2">
      <c r="A15" s="3">
        <v>18</v>
      </c>
      <c r="B15" s="6" t="s">
        <v>204</v>
      </c>
      <c r="C15" s="6" t="s">
        <v>67</v>
      </c>
      <c r="D15" s="6" t="s">
        <v>68</v>
      </c>
      <c r="E15" s="6" t="s">
        <v>8</v>
      </c>
      <c r="F15" s="28"/>
      <c r="G15" s="28"/>
      <c r="H15" s="20">
        <f>SUM(H12:H14)</f>
        <v>0</v>
      </c>
    </row>
    <row r="16" spans="1:9" ht="24" x14ac:dyDescent="0.2">
      <c r="A16" s="9" t="s">
        <v>205</v>
      </c>
      <c r="B16" s="10" t="s">
        <v>206</v>
      </c>
      <c r="C16" s="18"/>
      <c r="D16" s="18"/>
      <c r="E16" s="15"/>
      <c r="F16" s="67">
        <v>0.5</v>
      </c>
      <c r="G16" s="67">
        <f t="shared" si="0"/>
        <v>0</v>
      </c>
      <c r="H16" s="55">
        <f>IF(C16="x",171,IF(D16="x",171*2,0))+IF(E16&gt;"",CODE(E16)+LEN(E16),0)</f>
        <v>0</v>
      </c>
    </row>
    <row r="17" spans="1:8" ht="48" x14ac:dyDescent="0.2">
      <c r="A17" s="9" t="s">
        <v>207</v>
      </c>
      <c r="B17" s="10" t="s">
        <v>394</v>
      </c>
      <c r="C17" s="18"/>
      <c r="D17" s="18"/>
      <c r="E17" s="15"/>
      <c r="F17" s="67">
        <v>1</v>
      </c>
      <c r="G17" s="67">
        <f t="shared" si="0"/>
        <v>0</v>
      </c>
      <c r="H17" s="55">
        <f>IF(C17="x",172,IF(D17="x",172*2,0))+IF(E17&gt;"",CODE(E17)+LEN(E17),0)</f>
        <v>0</v>
      </c>
    </row>
    <row r="18" spans="1:8" ht="25.5" x14ac:dyDescent="0.2">
      <c r="A18" s="3">
        <v>19</v>
      </c>
      <c r="B18" s="6" t="s">
        <v>208</v>
      </c>
      <c r="C18" s="6" t="s">
        <v>67</v>
      </c>
      <c r="D18" s="6" t="s">
        <v>68</v>
      </c>
      <c r="E18" s="6" t="s">
        <v>8</v>
      </c>
      <c r="F18" s="28"/>
      <c r="G18" s="28"/>
      <c r="H18" s="20">
        <f>SUM(H16:H17)</f>
        <v>0</v>
      </c>
    </row>
    <row r="19" spans="1:8" ht="24" x14ac:dyDescent="0.2">
      <c r="A19" s="9" t="s">
        <v>209</v>
      </c>
      <c r="B19" s="10" t="s">
        <v>210</v>
      </c>
      <c r="C19" s="18"/>
      <c r="D19" s="18"/>
      <c r="E19" s="15"/>
      <c r="F19" s="67">
        <v>0.5</v>
      </c>
      <c r="G19" s="67">
        <f t="shared" si="0"/>
        <v>0</v>
      </c>
      <c r="H19" s="55">
        <f>IF(C19="x",181,IF(D19="x",181*2,0))+IF(E19&gt;"",CODE(E19)+LEN(E19),0)</f>
        <v>0</v>
      </c>
    </row>
    <row r="20" spans="1:8" ht="24" x14ac:dyDescent="0.2">
      <c r="A20" s="9" t="s">
        <v>211</v>
      </c>
      <c r="B20" s="10" t="s">
        <v>393</v>
      </c>
      <c r="C20" s="18"/>
      <c r="D20" s="18"/>
      <c r="E20" s="15"/>
      <c r="F20" s="67">
        <v>1</v>
      </c>
      <c r="G20" s="67">
        <f t="shared" si="0"/>
        <v>0</v>
      </c>
      <c r="H20" s="55">
        <f>IF(C20="x",182,IF(D20="x",182*2,0))+IF(E20&gt;"",CODE(E20)+LEN(E20),0)</f>
        <v>0</v>
      </c>
    </row>
    <row r="21" spans="1:8" ht="36.75" x14ac:dyDescent="0.2">
      <c r="A21" s="9" t="s">
        <v>212</v>
      </c>
      <c r="B21" s="10" t="s">
        <v>213</v>
      </c>
      <c r="C21" s="18"/>
      <c r="D21" s="18"/>
      <c r="E21" s="15"/>
      <c r="F21" s="67">
        <v>0.5</v>
      </c>
      <c r="G21" s="67">
        <f t="shared" si="0"/>
        <v>0</v>
      </c>
      <c r="H21" s="55">
        <f>IF(C21="x",183,IF(D21="x",183*2,0))+IF(E21&gt;"",CODE(E21)+LEN(E21),0)</f>
        <v>0</v>
      </c>
    </row>
    <row r="22" spans="1:8" ht="25.5" x14ac:dyDescent="0.2">
      <c r="A22" s="3">
        <v>20</v>
      </c>
      <c r="B22" s="6" t="s">
        <v>214</v>
      </c>
      <c r="C22" s="6" t="s">
        <v>67</v>
      </c>
      <c r="D22" s="6" t="s">
        <v>68</v>
      </c>
      <c r="E22" s="6" t="s">
        <v>8</v>
      </c>
      <c r="F22" s="28"/>
      <c r="G22" s="28"/>
      <c r="H22" s="20">
        <f>SUM(H19:H21)</f>
        <v>0</v>
      </c>
    </row>
    <row r="23" spans="1:8" ht="48" x14ac:dyDescent="0.2">
      <c r="A23" s="9" t="s">
        <v>215</v>
      </c>
      <c r="B23" s="10" t="s">
        <v>392</v>
      </c>
      <c r="C23" s="18"/>
      <c r="D23" s="18"/>
      <c r="E23" s="15"/>
      <c r="F23" s="67">
        <v>1</v>
      </c>
      <c r="G23" s="67">
        <f t="shared" si="0"/>
        <v>0</v>
      </c>
      <c r="H23" s="55">
        <f>IF(C23="x",191,IF(D23="x",191*2,0))+IF(E23&gt;"",CODE(E23)+LEN(E23),0)</f>
        <v>0</v>
      </c>
    </row>
    <row r="24" spans="1:8" ht="36.75" x14ac:dyDescent="0.2">
      <c r="A24" s="9" t="s">
        <v>216</v>
      </c>
      <c r="B24" s="10" t="s">
        <v>217</v>
      </c>
      <c r="C24" s="18"/>
      <c r="D24" s="18"/>
      <c r="E24" s="15"/>
      <c r="F24" s="67">
        <v>0.5</v>
      </c>
      <c r="G24" s="67">
        <f t="shared" si="0"/>
        <v>0</v>
      </c>
      <c r="H24" s="55">
        <f>IF(C24="x",192,IF(D24="x",192*2,0))+IF(E24&gt;"",CODE(E24)+LEN(E24),0)</f>
        <v>0</v>
      </c>
    </row>
    <row r="25" spans="1:8" ht="48" x14ac:dyDescent="0.2">
      <c r="A25" s="9" t="s">
        <v>218</v>
      </c>
      <c r="B25" s="10" t="s">
        <v>219</v>
      </c>
      <c r="C25" s="18"/>
      <c r="D25" s="18"/>
      <c r="E25" s="15"/>
      <c r="F25" s="67">
        <v>0.5</v>
      </c>
      <c r="G25" s="67">
        <f t="shared" si="0"/>
        <v>0</v>
      </c>
      <c r="H25" s="55">
        <f>IF(C25="x",193,IF(D25="x",193*2,0))+IF(E25&gt;"",CODE(E25)+LEN(E25),0)</f>
        <v>0</v>
      </c>
    </row>
    <row r="26" spans="1:8" ht="25.5" x14ac:dyDescent="0.2">
      <c r="A26" s="3">
        <v>21</v>
      </c>
      <c r="B26" s="6" t="s">
        <v>220</v>
      </c>
      <c r="C26" s="6" t="s">
        <v>67</v>
      </c>
      <c r="D26" s="6" t="s">
        <v>68</v>
      </c>
      <c r="E26" s="6" t="s">
        <v>8</v>
      </c>
      <c r="F26" s="28"/>
      <c r="G26" s="28"/>
      <c r="H26" s="20">
        <f>SUM(H23:H25)</f>
        <v>0</v>
      </c>
    </row>
    <row r="27" spans="1:8" ht="48" x14ac:dyDescent="0.2">
      <c r="A27" s="9" t="s">
        <v>221</v>
      </c>
      <c r="B27" s="10" t="s">
        <v>222</v>
      </c>
      <c r="C27" s="18"/>
      <c r="D27" s="18"/>
      <c r="E27" s="15"/>
      <c r="F27" s="67">
        <v>1</v>
      </c>
      <c r="G27" s="67">
        <f t="shared" si="0"/>
        <v>0</v>
      </c>
      <c r="H27" s="55">
        <f>IF(C27="x",201,IF(D27="x",201*2,0))+IF(E27&gt;"",CODE(E27)+LEN(E27),0)</f>
        <v>0</v>
      </c>
    </row>
    <row r="28" spans="1:8" ht="25.5" x14ac:dyDescent="0.2">
      <c r="A28" s="3">
        <v>22</v>
      </c>
      <c r="B28" s="6" t="s">
        <v>223</v>
      </c>
      <c r="C28" s="6" t="s">
        <v>67</v>
      </c>
      <c r="D28" s="6" t="s">
        <v>68</v>
      </c>
      <c r="E28" s="6" t="s">
        <v>8</v>
      </c>
      <c r="F28" s="28"/>
      <c r="G28" s="28"/>
      <c r="H28" s="20">
        <f>SUM(H27)</f>
        <v>0</v>
      </c>
    </row>
    <row r="29" spans="1:8" ht="52.5" customHeight="1" x14ac:dyDescent="0.2">
      <c r="A29" s="9" t="s">
        <v>224</v>
      </c>
      <c r="B29" s="10" t="s">
        <v>225</v>
      </c>
      <c r="C29" s="18"/>
      <c r="D29" s="18"/>
      <c r="E29" s="15"/>
      <c r="F29" s="67">
        <v>1</v>
      </c>
      <c r="G29" s="67">
        <f t="shared" si="0"/>
        <v>0</v>
      </c>
      <c r="H29" s="55">
        <f>IF(C29="x",211,IF(D29="x",211*2,0))+IF(E29&gt;"",CODE(E29)+LEN(E29),0)</f>
        <v>0</v>
      </c>
    </row>
    <row r="30" spans="1:8" ht="48" x14ac:dyDescent="0.2">
      <c r="A30" s="9" t="s">
        <v>226</v>
      </c>
      <c r="B30" s="10" t="s">
        <v>227</v>
      </c>
      <c r="C30" s="18"/>
      <c r="D30" s="18"/>
      <c r="E30" s="15"/>
      <c r="F30" s="67">
        <v>1</v>
      </c>
      <c r="G30" s="67">
        <f t="shared" si="0"/>
        <v>0</v>
      </c>
      <c r="H30" s="55">
        <f>IF(C30="x",212,IF(D30="x",212*2,0))+IF(E30&gt;"",CODE(E30)+LEN(E30),0)</f>
        <v>0</v>
      </c>
    </row>
    <row r="31" spans="1:8" ht="39" customHeight="1" x14ac:dyDescent="0.2">
      <c r="A31" s="9" t="s">
        <v>228</v>
      </c>
      <c r="B31" s="10" t="s">
        <v>391</v>
      </c>
      <c r="C31" s="18"/>
      <c r="D31" s="18"/>
      <c r="E31" s="15"/>
      <c r="F31" s="67">
        <v>1.5</v>
      </c>
      <c r="G31" s="67">
        <f t="shared" si="0"/>
        <v>0</v>
      </c>
      <c r="H31" s="55">
        <f>IF(C31="x",213,IF(D31="x",213*2,0))+IF(E31&gt;"",CODE(E31)+LEN(E31),0)</f>
        <v>0</v>
      </c>
    </row>
    <row r="32" spans="1:8" ht="51.75" customHeight="1" x14ac:dyDescent="0.2">
      <c r="A32" s="9" t="s">
        <v>229</v>
      </c>
      <c r="B32" s="10" t="s">
        <v>230</v>
      </c>
      <c r="C32" s="18"/>
      <c r="D32" s="18"/>
      <c r="E32" s="15"/>
      <c r="F32" s="67">
        <v>1</v>
      </c>
      <c r="G32" s="67">
        <f t="shared" si="0"/>
        <v>0</v>
      </c>
      <c r="H32" s="55">
        <f>IF(C32="x",214,IF(D32="x",214*2,0))+IF(E32&gt;"",CODE(E32)+LEN(E32),0)</f>
        <v>0</v>
      </c>
    </row>
    <row r="33" spans="1:8" ht="24" x14ac:dyDescent="0.2">
      <c r="A33" s="9" t="s">
        <v>231</v>
      </c>
      <c r="B33" s="10" t="s">
        <v>232</v>
      </c>
      <c r="C33" s="18"/>
      <c r="D33" s="18"/>
      <c r="E33" s="15"/>
      <c r="F33" s="67">
        <v>0.5</v>
      </c>
      <c r="G33" s="67">
        <f t="shared" si="0"/>
        <v>0</v>
      </c>
      <c r="H33" s="55">
        <f>IF(C33="x",215,IF(D33="x",215*2,0))+IF(E33&gt;"",CODE(E33)+LEN(E33),0)</f>
        <v>0</v>
      </c>
    </row>
    <row r="34" spans="1:8" ht="26.25" customHeight="1" x14ac:dyDescent="0.2">
      <c r="A34" s="9" t="s">
        <v>233</v>
      </c>
      <c r="B34" s="10" t="s">
        <v>234</v>
      </c>
      <c r="C34" s="18"/>
      <c r="D34" s="18"/>
      <c r="E34" s="15"/>
      <c r="F34" s="67">
        <v>1</v>
      </c>
      <c r="G34" s="67">
        <f t="shared" si="0"/>
        <v>0</v>
      </c>
      <c r="H34" s="55">
        <f>IF(C34="x",216,IF(D34="x",216*2,0))+IF(E34&gt;"",CODE(E34)+LEN(E34),0)</f>
        <v>0</v>
      </c>
    </row>
    <row r="35" spans="1:8" ht="24" x14ac:dyDescent="0.2">
      <c r="A35" s="9" t="s">
        <v>235</v>
      </c>
      <c r="B35" s="10" t="s">
        <v>236</v>
      </c>
      <c r="C35" s="18"/>
      <c r="D35" s="18"/>
      <c r="E35" s="15"/>
      <c r="F35" s="67">
        <v>0.5</v>
      </c>
      <c r="G35" s="67">
        <f t="shared" si="0"/>
        <v>0</v>
      </c>
      <c r="H35" s="55">
        <f>IF(C35="x",217,IF(D35="x",217*2,0))+IF(E35&gt;"",CODE(E35)+LEN(E35),0)</f>
        <v>0</v>
      </c>
    </row>
    <row r="36" spans="1:8" ht="25.5" x14ac:dyDescent="0.2">
      <c r="A36" s="3">
        <v>23</v>
      </c>
      <c r="B36" s="6" t="s">
        <v>237</v>
      </c>
      <c r="C36" s="6" t="s">
        <v>67</v>
      </c>
      <c r="D36" s="6" t="s">
        <v>68</v>
      </c>
      <c r="E36" s="6" t="s">
        <v>8</v>
      </c>
      <c r="F36" s="28"/>
      <c r="G36" s="28"/>
      <c r="H36" s="20">
        <f>SUM(H29:H35)</f>
        <v>0</v>
      </c>
    </row>
    <row r="37" spans="1:8" ht="74.25" customHeight="1" x14ac:dyDescent="0.2">
      <c r="A37" s="9" t="s">
        <v>238</v>
      </c>
      <c r="B37" s="10" t="s">
        <v>390</v>
      </c>
      <c r="C37" s="18"/>
      <c r="D37" s="18"/>
      <c r="E37" s="15"/>
      <c r="F37" s="67">
        <v>2</v>
      </c>
      <c r="G37" s="67">
        <f t="shared" si="0"/>
        <v>0</v>
      </c>
      <c r="H37" s="55">
        <f>IF(C37="x",231,IF(D37="x",231*2,0))+IF(E37&gt;"",CODE(E37)+LEN(E37),0)</f>
        <v>0</v>
      </c>
    </row>
    <row r="38" spans="1:8" ht="25.5" x14ac:dyDescent="0.2">
      <c r="A38" s="3">
        <v>24</v>
      </c>
      <c r="B38" s="6" t="s">
        <v>239</v>
      </c>
      <c r="C38" s="6" t="s">
        <v>67</v>
      </c>
      <c r="D38" s="6" t="s">
        <v>68</v>
      </c>
      <c r="E38" s="6" t="s">
        <v>8</v>
      </c>
      <c r="F38" s="28"/>
      <c r="G38" s="28"/>
      <c r="H38" s="20">
        <f>SUM(H37)</f>
        <v>0</v>
      </c>
    </row>
    <row r="39" spans="1:8" ht="60.75" x14ac:dyDescent="0.2">
      <c r="A39" s="9" t="s">
        <v>240</v>
      </c>
      <c r="B39" s="10" t="s">
        <v>241</v>
      </c>
      <c r="C39" s="18"/>
      <c r="D39" s="18"/>
      <c r="E39" s="15"/>
      <c r="F39" s="67">
        <v>0.5</v>
      </c>
      <c r="G39" s="67">
        <f t="shared" si="0"/>
        <v>0</v>
      </c>
      <c r="H39" s="55">
        <f>IF(C39="x",241,IF(D39="x",241*2,0))+IF(E39&gt;"",CODE(E39)+LEN(E39),0)</f>
        <v>0</v>
      </c>
    </row>
    <row r="40" spans="1:8" ht="36.75" x14ac:dyDescent="0.2">
      <c r="A40" s="9" t="s">
        <v>242</v>
      </c>
      <c r="B40" s="10" t="s">
        <v>243</v>
      </c>
      <c r="C40" s="18"/>
      <c r="D40" s="18"/>
      <c r="E40" s="15"/>
      <c r="F40" s="67">
        <v>0.5</v>
      </c>
      <c r="G40" s="67">
        <f t="shared" si="0"/>
        <v>0</v>
      </c>
      <c r="H40" s="55">
        <f>IF(C40="x",242,IF(D40="x",242*2,0))+IF(E40&gt;"",CODE(E40)+LEN(E40),0)</f>
        <v>0</v>
      </c>
    </row>
    <row r="41" spans="1:8" ht="36.75" x14ac:dyDescent="0.2">
      <c r="A41" s="9" t="s">
        <v>244</v>
      </c>
      <c r="B41" s="10" t="s">
        <v>245</v>
      </c>
      <c r="C41" s="18"/>
      <c r="D41" s="18"/>
      <c r="E41" s="15"/>
      <c r="F41" s="67">
        <v>0.5</v>
      </c>
      <c r="G41" s="67">
        <f t="shared" si="0"/>
        <v>0</v>
      </c>
      <c r="H41" s="55">
        <f>IF(C41="x",243,IF(D41="x",243*2,0))+IF(E41&gt;"",CODE(E41)+LEN(E41),0)</f>
        <v>0</v>
      </c>
    </row>
    <row r="42" spans="1:8" ht="25.5" x14ac:dyDescent="0.2">
      <c r="A42" s="3">
        <v>25</v>
      </c>
      <c r="B42" s="6" t="s">
        <v>246</v>
      </c>
      <c r="C42" s="6" t="s">
        <v>67</v>
      </c>
      <c r="D42" s="6" t="s">
        <v>68</v>
      </c>
      <c r="E42" s="6" t="s">
        <v>8</v>
      </c>
      <c r="F42" s="28"/>
      <c r="G42" s="28"/>
      <c r="H42" s="20">
        <f>SUM(H39:H41)</f>
        <v>0</v>
      </c>
    </row>
    <row r="43" spans="1:8" ht="24" x14ac:dyDescent="0.2">
      <c r="A43" s="9" t="s">
        <v>247</v>
      </c>
      <c r="B43" s="10" t="s">
        <v>389</v>
      </c>
      <c r="C43" s="18"/>
      <c r="D43" s="18"/>
      <c r="E43" s="15"/>
      <c r="F43" s="67">
        <v>2</v>
      </c>
      <c r="G43" s="67">
        <f t="shared" si="0"/>
        <v>0</v>
      </c>
      <c r="H43" s="55">
        <f>IF(C43="x",251,IF(D43="x",251*2,0))+IF(E43&gt;"",CODE(E43)+LEN(E43),0)</f>
        <v>0</v>
      </c>
    </row>
    <row r="44" spans="1:8" ht="66" customHeight="1" x14ac:dyDescent="0.2">
      <c r="A44" s="9" t="s">
        <v>248</v>
      </c>
      <c r="B44" s="10" t="s">
        <v>249</v>
      </c>
      <c r="C44" s="18"/>
      <c r="D44" s="18"/>
      <c r="E44" s="15"/>
      <c r="F44" s="67">
        <v>0.5</v>
      </c>
      <c r="G44" s="67">
        <f t="shared" si="0"/>
        <v>0</v>
      </c>
      <c r="H44" s="55">
        <f>IF(C44="x",252,IF(D44="x",252*2,0))+IF(E44&gt;"",CODE(E44)+LEN(E44),0)</f>
        <v>0</v>
      </c>
    </row>
    <row r="45" spans="1:8" ht="60.75" x14ac:dyDescent="0.2">
      <c r="A45" s="9" t="s">
        <v>250</v>
      </c>
      <c r="B45" s="10" t="s">
        <v>251</v>
      </c>
      <c r="C45" s="18"/>
      <c r="D45" s="18"/>
      <c r="E45" s="15"/>
      <c r="F45" s="67">
        <v>0.5</v>
      </c>
      <c r="G45" s="67">
        <f t="shared" si="0"/>
        <v>0</v>
      </c>
      <c r="H45" s="55">
        <f>IF(C45="x",253,IF(D45="x",253*2,0))+IF(E45&gt;"",CODE(E45)+LEN(E45),0)</f>
        <v>0</v>
      </c>
    </row>
    <row r="46" spans="1:8" ht="39" customHeight="1" x14ac:dyDescent="0.2">
      <c r="A46" s="9" t="s">
        <v>252</v>
      </c>
      <c r="B46" s="10" t="s">
        <v>253</v>
      </c>
      <c r="C46" s="18"/>
      <c r="D46" s="18"/>
      <c r="E46" s="15"/>
      <c r="F46" s="67">
        <v>0.5</v>
      </c>
      <c r="G46" s="67">
        <f t="shared" si="0"/>
        <v>0</v>
      </c>
      <c r="H46" s="55">
        <f>IF(C46="x",254,IF(D46="x",254*2,0))+IF(E46&gt;"",CODE(E46)+LEN(E46),0)</f>
        <v>0</v>
      </c>
    </row>
    <row r="47" spans="1:8" ht="48" x14ac:dyDescent="0.2">
      <c r="A47" s="9" t="s">
        <v>254</v>
      </c>
      <c r="B47" s="10" t="s">
        <v>255</v>
      </c>
      <c r="C47" s="18"/>
      <c r="D47" s="18"/>
      <c r="E47" s="15"/>
      <c r="F47" s="67">
        <v>0.5</v>
      </c>
      <c r="G47" s="67">
        <f t="shared" si="0"/>
        <v>0</v>
      </c>
      <c r="H47" s="55">
        <f>IF(C47="x",255,IF(D47="x",255*2,0))+IF(E47&gt;"",CODE(E47)+LEN(E47),0)</f>
        <v>0</v>
      </c>
    </row>
    <row r="48" spans="1:8" ht="25.5" x14ac:dyDescent="0.2">
      <c r="A48" s="3">
        <v>26</v>
      </c>
      <c r="B48" s="6" t="s">
        <v>256</v>
      </c>
      <c r="C48" s="6" t="s">
        <v>67</v>
      </c>
      <c r="D48" s="6" t="s">
        <v>68</v>
      </c>
      <c r="E48" s="6" t="s">
        <v>8</v>
      </c>
      <c r="F48" s="28"/>
      <c r="G48" s="28"/>
      <c r="H48" s="20">
        <f>SUM(H43:H47)</f>
        <v>0</v>
      </c>
    </row>
    <row r="49" spans="1:8" ht="24" x14ac:dyDescent="0.2">
      <c r="A49" s="9" t="s">
        <v>257</v>
      </c>
      <c r="B49" s="10" t="s">
        <v>388</v>
      </c>
      <c r="C49" s="18"/>
      <c r="D49" s="18"/>
      <c r="E49" s="15"/>
      <c r="F49" s="67">
        <v>2</v>
      </c>
      <c r="G49" s="67">
        <f t="shared" si="0"/>
        <v>0</v>
      </c>
      <c r="H49" s="55">
        <f>IF(C49="x",261,IF(D49="x",261*2,0))+IF(E49&gt;"",CODE(E49)+LEN(E49),0)</f>
        <v>0</v>
      </c>
    </row>
    <row r="50" spans="1:8" ht="24" x14ac:dyDescent="0.2">
      <c r="A50" s="9" t="s">
        <v>258</v>
      </c>
      <c r="B50" s="10" t="s">
        <v>259</v>
      </c>
      <c r="C50" s="18"/>
      <c r="D50" s="18"/>
      <c r="E50" s="15"/>
      <c r="F50" s="67">
        <v>1</v>
      </c>
      <c r="G50" s="67">
        <f t="shared" si="0"/>
        <v>0</v>
      </c>
      <c r="H50" s="55">
        <f>IF(C50="x",262,IF(D50="x",262*2,0))+IF(E50&gt;"",CODE(E50)+LEN(E50),0)</f>
        <v>0</v>
      </c>
    </row>
    <row r="51" spans="1:8" ht="24" x14ac:dyDescent="0.2">
      <c r="A51" s="9" t="s">
        <v>260</v>
      </c>
      <c r="B51" s="10" t="s">
        <v>261</v>
      </c>
      <c r="C51" s="18"/>
      <c r="D51" s="18"/>
      <c r="E51" s="15"/>
      <c r="F51" s="67">
        <v>1</v>
      </c>
      <c r="G51" s="67">
        <f t="shared" si="0"/>
        <v>0</v>
      </c>
      <c r="H51" s="55">
        <f>IF(C51="x",263,IF(D51="x",263*2,0))+IF(E51&gt;"",CODE(E51)+LEN(E51),0)</f>
        <v>0</v>
      </c>
    </row>
    <row r="52" spans="1:8" ht="48" x14ac:dyDescent="0.2">
      <c r="A52" s="9" t="s">
        <v>262</v>
      </c>
      <c r="B52" s="10" t="s">
        <v>263</v>
      </c>
      <c r="C52" s="18"/>
      <c r="D52" s="18"/>
      <c r="E52" s="15"/>
      <c r="F52" s="67">
        <v>1</v>
      </c>
      <c r="G52" s="67">
        <f t="shared" si="0"/>
        <v>0</v>
      </c>
      <c r="H52" s="55">
        <f>IF(C52="x",264,IF(D52="x",264*2,0))+IF(E52&gt;"",CODE(E52)+LEN(E52),0)</f>
        <v>0</v>
      </c>
    </row>
    <row r="53" spans="1:8" ht="54.75" customHeight="1" x14ac:dyDescent="0.2">
      <c r="A53" s="9" t="s">
        <v>264</v>
      </c>
      <c r="B53" s="10" t="s">
        <v>265</v>
      </c>
      <c r="C53" s="18"/>
      <c r="D53" s="18"/>
      <c r="E53" s="15"/>
      <c r="F53" s="67">
        <v>1</v>
      </c>
      <c r="G53" s="67">
        <f t="shared" si="0"/>
        <v>0</v>
      </c>
      <c r="H53" s="55">
        <f>IF(C53="x",265,IF(D53="x",265*2,0))+IF(E53&gt;"",CODE(E53)+LEN(E53),0)</f>
        <v>0</v>
      </c>
    </row>
    <row r="54" spans="1:8" ht="25.5" x14ac:dyDescent="0.2">
      <c r="A54" s="3">
        <v>27</v>
      </c>
      <c r="B54" s="6" t="s">
        <v>266</v>
      </c>
      <c r="C54" s="6" t="s">
        <v>67</v>
      </c>
      <c r="D54" s="6" t="s">
        <v>68</v>
      </c>
      <c r="E54" s="6" t="s">
        <v>8</v>
      </c>
      <c r="F54" s="28"/>
      <c r="G54" s="28"/>
      <c r="H54" s="20">
        <f>SUM(H49:H53)</f>
        <v>0</v>
      </c>
    </row>
    <row r="55" spans="1:8" ht="84" customHeight="1" x14ac:dyDescent="0.2">
      <c r="A55" s="9" t="s">
        <v>267</v>
      </c>
      <c r="B55" s="10" t="s">
        <v>268</v>
      </c>
      <c r="C55" s="18"/>
      <c r="D55" s="18"/>
      <c r="E55" s="15"/>
      <c r="F55" s="67">
        <v>0.5</v>
      </c>
      <c r="G55" s="67">
        <f t="shared" si="0"/>
        <v>0</v>
      </c>
      <c r="H55" s="55">
        <f>IF(C55="x",271,IF(D55="x",271*2,0))+IF(E55&gt;"",CODE(E55)+LEN(E55),0)</f>
        <v>0</v>
      </c>
    </row>
    <row r="56" spans="1:8" ht="51.75" customHeight="1" x14ac:dyDescent="0.2">
      <c r="A56" s="9" t="s">
        <v>269</v>
      </c>
      <c r="B56" s="10" t="s">
        <v>270</v>
      </c>
      <c r="C56" s="18"/>
      <c r="D56" s="18"/>
      <c r="E56" s="15"/>
      <c r="F56" s="67">
        <v>0.5</v>
      </c>
      <c r="G56" s="67">
        <f t="shared" si="0"/>
        <v>0</v>
      </c>
      <c r="H56" s="55">
        <f>IF(C56="x",272,IF(D56="x",272*2,0))+IF(E56&gt;"",CODE(E56)+LEN(E56),0)</f>
        <v>0</v>
      </c>
    </row>
    <row r="57" spans="1:8" ht="25.5" x14ac:dyDescent="0.2">
      <c r="A57" s="3">
        <v>28</v>
      </c>
      <c r="B57" s="6" t="s">
        <v>271</v>
      </c>
      <c r="C57" s="6" t="s">
        <v>67</v>
      </c>
      <c r="D57" s="6" t="s">
        <v>68</v>
      </c>
      <c r="E57" s="6" t="s">
        <v>8</v>
      </c>
      <c r="F57" s="28"/>
      <c r="G57" s="28"/>
      <c r="H57" s="20">
        <f>SUM(H55:H56)</f>
        <v>0</v>
      </c>
    </row>
    <row r="58" spans="1:8" ht="39" customHeight="1" x14ac:dyDescent="0.2">
      <c r="A58" s="9" t="s">
        <v>272</v>
      </c>
      <c r="B58" s="10" t="s">
        <v>273</v>
      </c>
      <c r="C58" s="18"/>
      <c r="D58" s="18"/>
      <c r="E58" s="15"/>
      <c r="F58" s="67">
        <v>1</v>
      </c>
      <c r="G58" s="67">
        <f t="shared" si="0"/>
        <v>0</v>
      </c>
      <c r="H58" s="55">
        <f>IF(C58="x",281,IF(D58="x",281*2,0))+IF(E58&gt;"",CODE(E58)+LEN(E58),0)</f>
        <v>0</v>
      </c>
    </row>
    <row r="59" spans="1:8" ht="28.5" customHeight="1" x14ac:dyDescent="0.2">
      <c r="A59" s="9" t="s">
        <v>274</v>
      </c>
      <c r="B59" s="10" t="s">
        <v>275</v>
      </c>
      <c r="C59" s="18"/>
      <c r="D59" s="18"/>
      <c r="E59" s="15"/>
      <c r="F59" s="67">
        <v>1</v>
      </c>
      <c r="G59" s="67">
        <f t="shared" si="0"/>
        <v>0</v>
      </c>
      <c r="H59" s="55">
        <f>IF(C59="x",282,IF(D59="x",282*2,0))+IF(E59&gt;"",CODE(E59)+LEN(E59),0)</f>
        <v>0</v>
      </c>
    </row>
    <row r="60" spans="1:8" ht="50.25" customHeight="1" x14ac:dyDescent="0.2">
      <c r="A60" s="9" t="s">
        <v>276</v>
      </c>
      <c r="B60" s="10" t="s">
        <v>277</v>
      </c>
      <c r="C60" s="18"/>
      <c r="D60" s="18"/>
      <c r="E60" s="15"/>
      <c r="F60" s="67">
        <v>1</v>
      </c>
      <c r="G60" s="67">
        <f t="shared" si="0"/>
        <v>0</v>
      </c>
      <c r="H60" s="55">
        <f>IF(C60="x",283,IF(D60="x",283*2,0))+IF(E60&gt;"",CODE(E60)+LEN(E60),0)</f>
        <v>0</v>
      </c>
    </row>
    <row r="61" spans="1:8" ht="53.25" customHeight="1" x14ac:dyDescent="0.2">
      <c r="A61" s="9" t="s">
        <v>278</v>
      </c>
      <c r="B61" s="10" t="s">
        <v>342</v>
      </c>
      <c r="C61" s="18"/>
      <c r="D61" s="18"/>
      <c r="E61" s="15"/>
      <c r="F61" s="67">
        <v>1</v>
      </c>
      <c r="G61" s="67">
        <f t="shared" si="0"/>
        <v>0</v>
      </c>
      <c r="H61" s="55">
        <f>IF(C61="x",284,IF(D61="x",284*2,0))+IF(E61&gt;"",CODE(E61)+LEN(E61),0)</f>
        <v>0</v>
      </c>
    </row>
    <row r="62" spans="1:8" ht="75" customHeight="1" x14ac:dyDescent="0.2">
      <c r="A62" s="9" t="s">
        <v>279</v>
      </c>
      <c r="B62" s="10" t="s">
        <v>280</v>
      </c>
      <c r="C62" s="18"/>
      <c r="D62" s="18"/>
      <c r="E62" s="15"/>
      <c r="F62" s="67">
        <v>1</v>
      </c>
      <c r="G62" s="67">
        <f t="shared" si="0"/>
        <v>0</v>
      </c>
      <c r="H62" s="55">
        <f>IF(C62="x",285,IF(D62="x",285*2,0))+IF(E62&gt;"",CODE(E62)+LEN(E62),0)</f>
        <v>0</v>
      </c>
    </row>
    <row r="63" spans="1:8" ht="25.5" x14ac:dyDescent="0.2">
      <c r="A63" s="3">
        <v>29</v>
      </c>
      <c r="B63" s="6" t="s">
        <v>281</v>
      </c>
      <c r="C63" s="6" t="s">
        <v>67</v>
      </c>
      <c r="D63" s="6" t="s">
        <v>68</v>
      </c>
      <c r="E63" s="6" t="s">
        <v>8</v>
      </c>
      <c r="F63" s="28"/>
      <c r="G63" s="28"/>
      <c r="H63" s="20">
        <f>SUM(H58:H62)</f>
        <v>0</v>
      </c>
    </row>
    <row r="64" spans="1:8" ht="48" x14ac:dyDescent="0.2">
      <c r="A64" s="9" t="s">
        <v>282</v>
      </c>
      <c r="B64" s="10" t="s">
        <v>387</v>
      </c>
      <c r="C64" s="18"/>
      <c r="D64" s="18"/>
      <c r="E64" s="15"/>
      <c r="F64" s="67">
        <v>1</v>
      </c>
      <c r="G64" s="67">
        <f t="shared" si="0"/>
        <v>0</v>
      </c>
      <c r="H64" s="55">
        <f>IF(C64="x",291,IF(D64="x",291*2,0))+IF(E64&gt;"",CODE(E64)+LEN(E64),0)</f>
        <v>0</v>
      </c>
    </row>
    <row r="65" spans="1:8" ht="36.75" x14ac:dyDescent="0.2">
      <c r="A65" s="9" t="s">
        <v>283</v>
      </c>
      <c r="B65" s="10" t="s">
        <v>284</v>
      </c>
      <c r="C65" s="18"/>
      <c r="D65" s="18"/>
      <c r="E65" s="15"/>
      <c r="F65" s="67">
        <v>0.5</v>
      </c>
      <c r="G65" s="67">
        <f t="shared" si="0"/>
        <v>0</v>
      </c>
      <c r="H65" s="55">
        <f>IF(C65="x",292,IF(D65="x",292*2,0))+IF(E65&gt;"",CODE(E65)+LEN(E65),0)</f>
        <v>0</v>
      </c>
    </row>
    <row r="66" spans="1:8" ht="25.5" x14ac:dyDescent="0.2">
      <c r="A66" s="3">
        <v>30</v>
      </c>
      <c r="B66" s="6" t="s">
        <v>285</v>
      </c>
      <c r="C66" s="6" t="s">
        <v>67</v>
      </c>
      <c r="D66" s="6" t="s">
        <v>68</v>
      </c>
      <c r="E66" s="6" t="s">
        <v>8</v>
      </c>
      <c r="F66" s="28"/>
      <c r="G66" s="28"/>
      <c r="H66" s="20">
        <f>SUM(H64:H65)</f>
        <v>0</v>
      </c>
    </row>
    <row r="67" spans="1:8" ht="36.75" x14ac:dyDescent="0.2">
      <c r="A67" s="9" t="s">
        <v>286</v>
      </c>
      <c r="B67" s="10" t="s">
        <v>287</v>
      </c>
      <c r="C67" s="18"/>
      <c r="D67" s="18"/>
      <c r="E67" s="15"/>
      <c r="F67" s="67">
        <v>0.5</v>
      </c>
      <c r="G67" s="67">
        <f t="shared" si="0"/>
        <v>0</v>
      </c>
      <c r="H67" s="55">
        <f>IF(C67="x",301,IF(D67="x",301*2,0))+IF(E67&gt;"",CODE(E67)+LEN(E67),0)</f>
        <v>0</v>
      </c>
    </row>
    <row r="68" spans="1:8" ht="36.75" x14ac:dyDescent="0.2">
      <c r="A68" s="9" t="s">
        <v>288</v>
      </c>
      <c r="B68" s="10" t="s">
        <v>289</v>
      </c>
      <c r="C68" s="18"/>
      <c r="D68" s="18"/>
      <c r="E68" s="15"/>
      <c r="F68" s="67">
        <v>0.5</v>
      </c>
      <c r="G68" s="67">
        <f t="shared" si="0"/>
        <v>0</v>
      </c>
      <c r="H68" s="55">
        <f>IF(C68="x",302,IF(D68="x",302*2,0))+IF(E68&gt;"",CODE(E68)+LEN(E68),0)</f>
        <v>0</v>
      </c>
    </row>
    <row r="69" spans="1:8" ht="25.5" x14ac:dyDescent="0.2">
      <c r="A69" s="3">
        <v>31</v>
      </c>
      <c r="B69" s="6" t="s">
        <v>290</v>
      </c>
      <c r="C69" s="6" t="s">
        <v>67</v>
      </c>
      <c r="D69" s="6" t="s">
        <v>68</v>
      </c>
      <c r="E69" s="6" t="s">
        <v>8</v>
      </c>
      <c r="F69" s="28"/>
      <c r="G69" s="28"/>
      <c r="H69" s="20">
        <f>SUM(H67:H68)</f>
        <v>0</v>
      </c>
    </row>
    <row r="70" spans="1:8" ht="51.75" customHeight="1" x14ac:dyDescent="0.2">
      <c r="A70" s="9" t="s">
        <v>291</v>
      </c>
      <c r="B70" s="10" t="s">
        <v>292</v>
      </c>
      <c r="C70" s="18"/>
      <c r="D70" s="18"/>
      <c r="E70" s="15"/>
      <c r="F70" s="67">
        <v>0.5</v>
      </c>
      <c r="G70" s="67">
        <f t="shared" ref="G70" si="1">IF(C70="X",F70,0)</f>
        <v>0</v>
      </c>
      <c r="H70" s="55">
        <f>IF(C70="x",311,IF(D70="x",311*2,0))+IF(E70&gt;"",CODE(E70)+LEN(E70),0)</f>
        <v>0</v>
      </c>
    </row>
    <row r="71" spans="1:8" ht="25.5" x14ac:dyDescent="0.2">
      <c r="A71" s="3">
        <v>32</v>
      </c>
      <c r="B71" s="6" t="s">
        <v>293</v>
      </c>
      <c r="C71" s="6" t="s">
        <v>67</v>
      </c>
      <c r="D71" s="6" t="s">
        <v>68</v>
      </c>
      <c r="E71" s="6" t="s">
        <v>8</v>
      </c>
      <c r="F71" s="28"/>
      <c r="G71" s="28"/>
      <c r="H71" s="20">
        <f>SUM(H70)</f>
        <v>0</v>
      </c>
    </row>
    <row r="72" spans="1:8" ht="36.75" x14ac:dyDescent="0.2">
      <c r="A72" s="9" t="s">
        <v>294</v>
      </c>
      <c r="B72" s="10" t="s">
        <v>295</v>
      </c>
      <c r="C72" s="18"/>
      <c r="D72" s="18"/>
      <c r="E72" s="15"/>
      <c r="F72" s="67">
        <v>0.5</v>
      </c>
      <c r="G72" s="67">
        <f t="shared" ref="G72:G73" si="2">IF(C72="X",F72,0)</f>
        <v>0</v>
      </c>
      <c r="H72" s="55">
        <f>IF(C72="x",321,IF(D72="x",321*2,0))+IF(E72&gt;"",CODE(E72)+LEN(E72),0)</f>
        <v>0</v>
      </c>
    </row>
    <row r="73" spans="1:8" ht="24" x14ac:dyDescent="0.2">
      <c r="A73" s="9" t="s">
        <v>296</v>
      </c>
      <c r="B73" s="10" t="s">
        <v>297</v>
      </c>
      <c r="C73" s="18"/>
      <c r="D73" s="18"/>
      <c r="E73" s="15"/>
      <c r="F73" s="67">
        <v>0.5</v>
      </c>
      <c r="G73" s="67">
        <f t="shared" si="2"/>
        <v>0</v>
      </c>
      <c r="H73" s="55">
        <f>IF(C73="x",322,IF(D73="x",322*2,0))+IF(E73&gt;"",CODE(E73)+LEN(E73),0)</f>
        <v>0</v>
      </c>
    </row>
    <row r="74" spans="1:8" ht="25.5" x14ac:dyDescent="0.2">
      <c r="A74" s="3">
        <v>33</v>
      </c>
      <c r="B74" s="6" t="s">
        <v>298</v>
      </c>
      <c r="C74" s="6" t="s">
        <v>67</v>
      </c>
      <c r="D74" s="6" t="s">
        <v>68</v>
      </c>
      <c r="E74" s="6" t="s">
        <v>8</v>
      </c>
      <c r="F74" s="28"/>
      <c r="G74" s="28"/>
      <c r="H74" s="20">
        <f>SUM(H72:H73)</f>
        <v>0</v>
      </c>
    </row>
    <row r="75" spans="1:8" ht="39.75" customHeight="1" x14ac:dyDescent="0.2">
      <c r="A75" s="9" t="s">
        <v>299</v>
      </c>
      <c r="B75" s="10" t="s">
        <v>300</v>
      </c>
      <c r="C75" s="18"/>
      <c r="D75" s="18"/>
      <c r="E75" s="15"/>
      <c r="F75" s="67">
        <v>0.5</v>
      </c>
      <c r="G75" s="67">
        <f t="shared" ref="G75:G78" si="3">IF(C75="X",F75,0)</f>
        <v>0</v>
      </c>
      <c r="H75" s="55">
        <f>IF(C75="x",331,IF(D75="x",331*2,0))+IF(E75&gt;"",CODE(E75)+LEN(E75),0)</f>
        <v>0</v>
      </c>
    </row>
    <row r="76" spans="1:8" ht="48" x14ac:dyDescent="0.2">
      <c r="A76" s="9" t="s">
        <v>301</v>
      </c>
      <c r="B76" s="10" t="s">
        <v>386</v>
      </c>
      <c r="C76" s="18"/>
      <c r="D76" s="18"/>
      <c r="E76" s="15"/>
      <c r="F76" s="67">
        <v>1</v>
      </c>
      <c r="G76" s="67">
        <f t="shared" si="3"/>
        <v>0</v>
      </c>
      <c r="H76" s="55">
        <f>IF(C76="x",332,IF(D76="x",332*2,0))+IF(E76&gt;"",CODE(E76)+LEN(E76),0)</f>
        <v>0</v>
      </c>
    </row>
    <row r="77" spans="1:8" ht="64.5" customHeight="1" x14ac:dyDescent="0.2">
      <c r="A77" s="9" t="s">
        <v>302</v>
      </c>
      <c r="B77" s="10" t="s">
        <v>303</v>
      </c>
      <c r="C77" s="18"/>
      <c r="D77" s="18"/>
      <c r="E77" s="15"/>
      <c r="F77" s="67">
        <v>0.5</v>
      </c>
      <c r="G77" s="67">
        <f t="shared" si="3"/>
        <v>0</v>
      </c>
      <c r="H77" s="55">
        <f>IF(C77="x",333,IF(D77="x",333*2,0))+IF(E77&gt;"",CODE(E77)+LEN(E77),0)</f>
        <v>0</v>
      </c>
    </row>
    <row r="78" spans="1:8" ht="48" x14ac:dyDescent="0.2">
      <c r="A78" s="9" t="s">
        <v>304</v>
      </c>
      <c r="B78" s="10" t="s">
        <v>305</v>
      </c>
      <c r="C78" s="18"/>
      <c r="D78" s="18"/>
      <c r="E78" s="15"/>
      <c r="F78" s="67">
        <v>0.5</v>
      </c>
      <c r="G78" s="67">
        <f t="shared" si="3"/>
        <v>0</v>
      </c>
      <c r="H78" s="55">
        <f>IF(C78="x",334,IF(D78="x",334*2,0))+IF(E78&gt;"",CODE(E78)+LEN(E78),0)</f>
        <v>0</v>
      </c>
    </row>
    <row r="79" spans="1:8" ht="25.5" x14ac:dyDescent="0.2">
      <c r="A79" s="3">
        <v>34</v>
      </c>
      <c r="B79" s="6" t="s">
        <v>306</v>
      </c>
      <c r="C79" s="6" t="s">
        <v>67</v>
      </c>
      <c r="D79" s="6" t="s">
        <v>68</v>
      </c>
      <c r="E79" s="6" t="s">
        <v>8</v>
      </c>
      <c r="F79" s="28"/>
      <c r="G79" s="28"/>
      <c r="H79" s="20">
        <f>SUM(H75:H78)</f>
        <v>0</v>
      </c>
    </row>
    <row r="80" spans="1:8" ht="36.75" x14ac:dyDescent="0.2">
      <c r="A80" s="9" t="s">
        <v>307</v>
      </c>
      <c r="B80" s="10" t="s">
        <v>385</v>
      </c>
      <c r="C80" s="18"/>
      <c r="D80" s="18"/>
      <c r="E80" s="15"/>
      <c r="F80" s="67">
        <v>1</v>
      </c>
      <c r="G80" s="67">
        <f t="shared" ref="G80:G83" si="4">IF(C80="X",F80,0)</f>
        <v>0</v>
      </c>
      <c r="H80" s="55">
        <f>IF(C80="x",341,IF(D80="x",341*2,0))+IF(E80&gt;"",CODE(E80)+LEN(E80),0)</f>
        <v>0</v>
      </c>
    </row>
    <row r="81" spans="1:8" ht="24" x14ac:dyDescent="0.2">
      <c r="A81" s="9" t="s">
        <v>308</v>
      </c>
      <c r="B81" s="10" t="s">
        <v>309</v>
      </c>
      <c r="C81" s="18"/>
      <c r="D81" s="18"/>
      <c r="E81" s="15"/>
      <c r="F81" s="67">
        <v>1</v>
      </c>
      <c r="G81" s="67">
        <f t="shared" si="4"/>
        <v>0</v>
      </c>
      <c r="H81" s="55">
        <f>IF(C81="x",342,IF(D81="x",342*2,0))+IF(E81&gt;"",CODE(E81)+LEN(E81),0)</f>
        <v>0</v>
      </c>
    </row>
    <row r="82" spans="1:8" ht="24" x14ac:dyDescent="0.2">
      <c r="A82" s="9" t="s">
        <v>310</v>
      </c>
      <c r="B82" s="10" t="s">
        <v>311</v>
      </c>
      <c r="C82" s="18"/>
      <c r="D82" s="18"/>
      <c r="E82" s="15"/>
      <c r="F82" s="67">
        <v>1</v>
      </c>
      <c r="G82" s="67">
        <f t="shared" si="4"/>
        <v>0</v>
      </c>
      <c r="H82" s="55">
        <f>IF(C82="x",343,IF(D82="x",343*2,0))+IF(E82&gt;"",CODE(E82)+LEN(E82),0)</f>
        <v>0</v>
      </c>
    </row>
    <row r="83" spans="1:8" ht="60.75" x14ac:dyDescent="0.2">
      <c r="A83" s="9" t="s">
        <v>312</v>
      </c>
      <c r="B83" s="10" t="s">
        <v>313</v>
      </c>
      <c r="C83" s="18"/>
      <c r="D83" s="18"/>
      <c r="E83" s="15"/>
      <c r="F83" s="67">
        <v>1</v>
      </c>
      <c r="G83" s="67">
        <f t="shared" si="4"/>
        <v>0</v>
      </c>
      <c r="H83" s="55">
        <f>IF(C83="x",344,IF(D83="x",344*2,0))+IF(E83&gt;"",CODE(E83)+LEN(E83),0)</f>
        <v>0</v>
      </c>
    </row>
    <row r="84" spans="1:8" ht="25.5" x14ac:dyDescent="0.2">
      <c r="A84" s="3">
        <v>35</v>
      </c>
      <c r="B84" s="6" t="s">
        <v>314</v>
      </c>
      <c r="C84" s="6" t="s">
        <v>67</v>
      </c>
      <c r="D84" s="6" t="s">
        <v>68</v>
      </c>
      <c r="E84" s="6" t="s">
        <v>8</v>
      </c>
      <c r="F84" s="28"/>
      <c r="G84" s="28"/>
      <c r="H84" s="20">
        <f>SUM(H80:H83)</f>
        <v>0</v>
      </c>
    </row>
    <row r="85" spans="1:8" ht="48" x14ac:dyDescent="0.2">
      <c r="A85" s="9" t="s">
        <v>315</v>
      </c>
      <c r="B85" s="10" t="s">
        <v>316</v>
      </c>
      <c r="C85" s="18"/>
      <c r="D85" s="18"/>
      <c r="E85" s="15"/>
      <c r="F85" s="67">
        <v>1</v>
      </c>
      <c r="G85" s="67">
        <f t="shared" ref="G85" si="5">IF(C85="X",F85,0)</f>
        <v>0</v>
      </c>
      <c r="H85" s="55">
        <f>IF(C85="x",351,IF(D85="x",351*2,0))+IF(E85&gt;"",CODE(E85)+LEN(E85),0)</f>
        <v>0</v>
      </c>
    </row>
    <row r="86" spans="1:8" ht="25.5" x14ac:dyDescent="0.2">
      <c r="A86" s="3">
        <v>36</v>
      </c>
      <c r="B86" s="6" t="s">
        <v>317</v>
      </c>
      <c r="C86" s="6" t="s">
        <v>67</v>
      </c>
      <c r="D86" s="6" t="s">
        <v>68</v>
      </c>
      <c r="E86" s="6" t="s">
        <v>8</v>
      </c>
      <c r="F86" s="28"/>
      <c r="G86" s="28"/>
      <c r="H86" s="20">
        <f>SUM(H85)</f>
        <v>0</v>
      </c>
    </row>
    <row r="87" spans="1:8" ht="36.75" x14ac:dyDescent="0.2">
      <c r="A87" s="9" t="s">
        <v>318</v>
      </c>
      <c r="B87" s="10" t="s">
        <v>319</v>
      </c>
      <c r="C87" s="18"/>
      <c r="D87" s="18"/>
      <c r="E87" s="15"/>
      <c r="F87" s="67">
        <v>0.5</v>
      </c>
      <c r="G87" s="67">
        <f t="shared" ref="G87:G89" si="6">IF(C87="X",F87,0)</f>
        <v>0</v>
      </c>
      <c r="H87" s="55">
        <f>IF(C87="x",361,IF(D87="x",361*2,0))+IF(E87&gt;"",CODE(E87)+LEN(E87),0)</f>
        <v>0</v>
      </c>
    </row>
    <row r="88" spans="1:8" ht="24" x14ac:dyDescent="0.2">
      <c r="A88" s="9" t="s">
        <v>320</v>
      </c>
      <c r="B88" s="10" t="s">
        <v>321</v>
      </c>
      <c r="C88" s="18"/>
      <c r="D88" s="18"/>
      <c r="E88" s="15"/>
      <c r="F88" s="67">
        <v>0.5</v>
      </c>
      <c r="G88" s="67">
        <f t="shared" si="6"/>
        <v>0</v>
      </c>
      <c r="H88" s="55">
        <f>IF(C88="x",362,IF(D88="x",362*2,0))+IF(E88&gt;"",CODE(E88)+LEN(E88),0)</f>
        <v>0</v>
      </c>
    </row>
    <row r="89" spans="1:8" ht="38.25" customHeight="1" x14ac:dyDescent="0.2">
      <c r="A89" s="9" t="s">
        <v>322</v>
      </c>
      <c r="B89" s="10" t="s">
        <v>323</v>
      </c>
      <c r="C89" s="15"/>
      <c r="D89" s="15"/>
      <c r="E89" s="15"/>
      <c r="F89" s="67">
        <v>0.5</v>
      </c>
      <c r="G89" s="67">
        <f t="shared" si="6"/>
        <v>0</v>
      </c>
      <c r="H89" s="55">
        <f>IF(C89="x",363,IF(D89="x",363*2,0))+IF(E89&gt;"",CODE(E89)+LEN(E89),0)</f>
        <v>0</v>
      </c>
    </row>
    <row r="90" spans="1:8" ht="25.5" x14ac:dyDescent="0.2">
      <c r="A90" s="3">
        <v>37</v>
      </c>
      <c r="B90" s="6" t="s">
        <v>338</v>
      </c>
      <c r="C90" s="6" t="s">
        <v>67</v>
      </c>
      <c r="D90" s="6" t="s">
        <v>68</v>
      </c>
      <c r="E90" s="6" t="s">
        <v>8</v>
      </c>
      <c r="F90" s="28"/>
      <c r="G90" s="28"/>
      <c r="H90" s="20">
        <f>SUM(H87:H89)</f>
        <v>0</v>
      </c>
    </row>
    <row r="91" spans="1:8" ht="60.75" x14ac:dyDescent="0.2">
      <c r="A91" s="9" t="s">
        <v>339</v>
      </c>
      <c r="B91" s="16" t="s">
        <v>349</v>
      </c>
      <c r="C91" s="18"/>
      <c r="D91" s="18"/>
      <c r="E91" s="15"/>
      <c r="F91" s="67">
        <v>0.5</v>
      </c>
      <c r="G91" s="67">
        <f t="shared" ref="G91:G92" si="7">IF(C91="X",F91,0)</f>
        <v>0</v>
      </c>
      <c r="H91" s="55">
        <f>IF(C91="x",361,IF(D91="x",361*2,0))+IF(E91&gt;"",CODE(E91)+LEN(E91),0)</f>
        <v>0</v>
      </c>
    </row>
    <row r="92" spans="1:8" ht="60.75" x14ac:dyDescent="0.2">
      <c r="A92" s="9" t="s">
        <v>340</v>
      </c>
      <c r="B92" s="16" t="s">
        <v>350</v>
      </c>
      <c r="C92" s="18"/>
      <c r="D92" s="18"/>
      <c r="E92" s="15"/>
      <c r="F92" s="67">
        <v>0.5</v>
      </c>
      <c r="G92" s="67">
        <f t="shared" si="7"/>
        <v>0</v>
      </c>
      <c r="H92" s="55">
        <f>IF(C92="x",362,IF(D92="x",362*2,0))+IF(E92&gt;"",CODE(E92)+LEN(E92),0)</f>
        <v>0</v>
      </c>
    </row>
    <row r="93" spans="1:8" ht="38.25" customHeight="1" x14ac:dyDescent="0.2">
      <c r="A93" s="9" t="s">
        <v>341</v>
      </c>
      <c r="B93" s="16" t="s">
        <v>351</v>
      </c>
      <c r="C93" s="15"/>
      <c r="D93" s="15"/>
      <c r="E93" s="15"/>
      <c r="F93" s="67">
        <v>0.5</v>
      </c>
      <c r="G93" s="67">
        <f t="shared" ref="G93" si="8">IF(C93="X",F93,0)</f>
        <v>0</v>
      </c>
      <c r="H93" s="55">
        <f>IF(C93="x",363,IF(D93="x",363*2,0))+IF(E93&gt;"",CODE(E93)+LEN(E93),0)</f>
        <v>0</v>
      </c>
    </row>
    <row r="94" spans="1:8" x14ac:dyDescent="0.2">
      <c r="A94" s="29"/>
      <c r="C94" s="30"/>
      <c r="D94" s="31"/>
      <c r="E94" s="31"/>
      <c r="F94" s="20">
        <f>SUM(F4:F89)</f>
        <v>56.5</v>
      </c>
      <c r="G94" s="20">
        <f>SUM(G4:G89)</f>
        <v>0</v>
      </c>
      <c r="H94" s="20">
        <f>SUM(H91:H93)</f>
        <v>0</v>
      </c>
    </row>
    <row r="95" spans="1:8" ht="25.5" x14ac:dyDescent="0.2">
      <c r="F95" s="34" t="s">
        <v>65</v>
      </c>
      <c r="G95" s="26" t="s">
        <v>66</v>
      </c>
    </row>
    <row r="96" spans="1:8" x14ac:dyDescent="0.2">
      <c r="A96" s="100" t="str">
        <f>CONCATENATE("Prüfsumme: ",H7," - ",H11," - ",H15," - ",H18," - ",H22," - ",H26," - ",H28,"  - ",H36," - ",H38," - ",H42," - ",H48," - ",H54," - ",H57," - ",H63," - ",H66," - ",H69," - ",H71," - ",H74," - ",H79," - ",H84," - ",H86," - ",H90," - ",H94)</f>
        <v>Prüfsumme: 0 - 0 - 0 - 0 - 0 - 0 - 0  - 0 - 0 - 0 - 0 - 0 - 0 - 0 - 0 - 0 - 0 - 0 - 0 - 0 - 0 - 0 - 0</v>
      </c>
      <c r="B96" s="100"/>
      <c r="C96" s="100"/>
      <c r="D96" s="100"/>
      <c r="E96" s="100"/>
    </row>
  </sheetData>
  <sheetProtection algorithmName="SHA-512" hashValue="lxYqoEvFuZizg++68XVYt7UyLeeAR50HU5sEswGi0/phP3vDtBF+hldbzxhTNHlfcazZ1rIhA7rZ9kdbGO6k7Q==" saltValue="PD7GBgjp6Qr2zvOe9OpQzw==" spinCount="100000" sheet="1" objects="1" scenarios="1" formatRows="0" selectLockedCells="1"/>
  <mergeCells count="2">
    <mergeCell ref="A2:E2"/>
    <mergeCell ref="A96:E96"/>
  </mergeCells>
  <dataValidations count="2">
    <dataValidation type="list" allowBlank="1" showInputMessage="1" showErrorMessage="1" sqref="C4:D6 C8:D10 C85:D85 C80:D83 C75:D78 C72:D73 C70:D70 C67:D68 C64:D65 C58:D62 C55:D56 C49:D53 C43:D47 C39:D41 C37:D37 C29:D35 C27:D27 C23:D25 C19:D21 C16:D17 C12:D14 C87:D89 C91:D93" xr:uid="{00000000-0002-0000-0200-000000000000}">
      <formula1>$I$2</formula1>
    </dataValidation>
    <dataValidation type="textLength" allowBlank="1" showInputMessage="1" showErrorMessage="1" errorTitle="Achtung / attention" error="nicht mehr als 250 Zeichen möglich / not more than 250 characters possible" sqref="E1:E1048576" xr:uid="{00000000-0002-0000-0200-000001000000}">
      <formula1>0</formula1>
      <formula2>250</formula2>
    </dataValidation>
  </dataValidations>
  <printOptions horizontalCentered="1"/>
  <pageMargins left="0.78740157480314965" right="0.78740157480314965" top="1.1811023622047201" bottom="0.59055118110236204" header="0.196850393700787" footer="0.31496062992126"/>
  <pageSetup paperSize="9" scale="83" fitToHeight="5" orientation="portrait" r:id="rId1"/>
  <headerFooter scaleWithDoc="0">
    <oddHeader>&amp;L&amp;G_x000D__x000D_&amp;"Arial,Standard"&amp;10Formular | Lieferanten Selbstauditierungsbogen direkte Materialien [de] [en]&amp;R&amp;"Arial,Standard"&amp;10&amp;K000000QM Systems &amp; Food Safety (COE)_x000D_FO-ZTR-55514-3_x000D__x000D_&amp;1&amp;K00+000|21f&amp;1 &amp;K00+000|44f6</oddHeader>
    <oddFooter>&amp;L&amp;"Arial,Standard"&amp;8Ansprechperson: Beckers, Mario&amp;C&amp;"Arial,Standard"&amp;8Freigegeben am 13.06.2023&amp;1&amp;K00+000|21f&amp;R&amp;"Arial,Standard"&amp;8&amp;"Arial,Standard"&amp;8&amp;"Arial,Standard"&amp;9Seite &amp;P von &amp;N&amp;1 &amp;K00+000|44f6</oddFooter>
  </headerFooter>
  <rowBreaks count="5" manualBreakCount="5">
    <brk id="17" max="4" man="1"/>
    <brk id="35" max="4" man="1"/>
    <brk id="53" max="4" man="1"/>
    <brk id="70" max="4" man="1"/>
    <brk id="89" max="4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6"/>
  <dimension ref="A2:J135"/>
  <sheetViews>
    <sheetView showGridLines="0" zoomScaleNormal="100" zoomScalePageLayoutView="80" workbookViewId="0">
      <selection activeCell="C55" sqref="C55"/>
    </sheetView>
  </sheetViews>
  <sheetFormatPr baseColWidth="10" defaultRowHeight="12.75" x14ac:dyDescent="0.2"/>
  <cols>
    <col min="1" max="1" width="6.140625" style="22" customWidth="1"/>
    <col min="2" max="2" width="41.5703125" style="23" customWidth="1"/>
    <col min="3" max="3" width="7.7109375" style="24" customWidth="1"/>
    <col min="4" max="4" width="7.7109375" style="2" customWidth="1"/>
    <col min="5" max="5" width="31.85546875" style="2" customWidth="1"/>
    <col min="6" max="6" width="7.28515625" style="1" hidden="1" customWidth="1"/>
    <col min="7" max="7" width="7.28515625" style="2" hidden="1" customWidth="1"/>
    <col min="8" max="8" width="7.5703125" style="2" hidden="1" customWidth="1"/>
    <col min="9" max="9" width="11.42578125" style="2" customWidth="1"/>
    <col min="10" max="16384" width="11.42578125" style="2"/>
  </cols>
  <sheetData>
    <row r="2" spans="1:8" ht="37.5" customHeight="1" x14ac:dyDescent="0.2">
      <c r="A2" s="88" t="s">
        <v>2</v>
      </c>
      <c r="B2" s="88"/>
      <c r="C2" s="88"/>
      <c r="D2" s="88"/>
      <c r="E2" s="88"/>
      <c r="F2" s="1" t="s">
        <v>3</v>
      </c>
    </row>
    <row r="3" spans="1:8" ht="39" customHeight="1" x14ac:dyDescent="0.2">
      <c r="A3" s="3" t="s">
        <v>4</v>
      </c>
      <c r="B3" s="89" t="s">
        <v>5</v>
      </c>
      <c r="C3" s="89"/>
      <c r="D3" s="89"/>
      <c r="E3" s="89"/>
      <c r="H3" s="4" t="s">
        <v>6</v>
      </c>
    </row>
    <row r="4" spans="1:8" ht="17.100000000000001" customHeight="1" x14ac:dyDescent="0.2">
      <c r="A4" s="5">
        <v>1</v>
      </c>
      <c r="B4" s="6" t="s">
        <v>7</v>
      </c>
      <c r="C4" s="90" t="s">
        <v>8</v>
      </c>
      <c r="D4" s="90"/>
      <c r="E4" s="90"/>
      <c r="F4" s="7"/>
      <c r="G4" s="8"/>
      <c r="H4" s="8"/>
    </row>
    <row r="5" spans="1:8" ht="48.75" customHeight="1" x14ac:dyDescent="0.2">
      <c r="A5" s="9" t="s">
        <v>9</v>
      </c>
      <c r="B5" s="10" t="s">
        <v>376</v>
      </c>
      <c r="C5" s="87"/>
      <c r="D5" s="87"/>
      <c r="E5" s="87"/>
      <c r="F5" s="53"/>
      <c r="G5" s="54"/>
      <c r="H5" s="55">
        <f>IF(C5&gt;"",CODE(C5)+LEN(C5),0)</f>
        <v>0</v>
      </c>
    </row>
    <row r="6" spans="1:8" ht="30" customHeight="1" x14ac:dyDescent="0.2">
      <c r="A6" s="9" t="s">
        <v>10</v>
      </c>
      <c r="B6" s="10" t="s">
        <v>377</v>
      </c>
      <c r="C6" s="87"/>
      <c r="D6" s="87"/>
      <c r="E6" s="87"/>
      <c r="F6" s="53"/>
      <c r="G6" s="54"/>
      <c r="H6" s="55">
        <f t="shared" ref="H6:H16" si="0">IF(C6&gt;"",CODE(C6)+LEN(C6),0)</f>
        <v>0</v>
      </c>
    </row>
    <row r="7" spans="1:8" ht="53.25" customHeight="1" x14ac:dyDescent="0.2">
      <c r="A7" s="9" t="s">
        <v>11</v>
      </c>
      <c r="B7" s="10" t="s">
        <v>13</v>
      </c>
      <c r="C7" s="87"/>
      <c r="D7" s="87"/>
      <c r="E7" s="87"/>
      <c r="F7" s="53"/>
      <c r="G7" s="54"/>
      <c r="H7" s="55">
        <f t="shared" si="0"/>
        <v>0</v>
      </c>
    </row>
    <row r="8" spans="1:8" ht="24" x14ac:dyDescent="0.2">
      <c r="A8" s="9" t="s">
        <v>12</v>
      </c>
      <c r="B8" s="10" t="s">
        <v>378</v>
      </c>
      <c r="C8" s="87"/>
      <c r="D8" s="87"/>
      <c r="E8" s="87"/>
      <c r="F8" s="53"/>
      <c r="G8" s="54"/>
      <c r="H8" s="55">
        <f t="shared" si="0"/>
        <v>0</v>
      </c>
    </row>
    <row r="9" spans="1:8" ht="35.25" x14ac:dyDescent="0.2">
      <c r="A9" s="9" t="s">
        <v>14</v>
      </c>
      <c r="B9" s="10" t="s">
        <v>16</v>
      </c>
      <c r="C9" s="87"/>
      <c r="D9" s="87"/>
      <c r="E9" s="87"/>
      <c r="F9" s="53"/>
      <c r="G9" s="54"/>
      <c r="H9" s="55">
        <f t="shared" si="0"/>
        <v>0</v>
      </c>
    </row>
    <row r="10" spans="1:8" ht="24" x14ac:dyDescent="0.2">
      <c r="A10" s="9" t="s">
        <v>15</v>
      </c>
      <c r="B10" s="10" t="s">
        <v>18</v>
      </c>
      <c r="C10" s="87"/>
      <c r="D10" s="87"/>
      <c r="E10" s="87"/>
      <c r="F10" s="53"/>
      <c r="G10" s="54"/>
      <c r="H10" s="55">
        <f t="shared" si="0"/>
        <v>0</v>
      </c>
    </row>
    <row r="11" spans="1:8" ht="24" x14ac:dyDescent="0.2">
      <c r="A11" s="9" t="s">
        <v>17</v>
      </c>
      <c r="B11" s="10" t="s">
        <v>20</v>
      </c>
      <c r="C11" s="87"/>
      <c r="D11" s="87"/>
      <c r="E11" s="87"/>
      <c r="F11" s="53"/>
      <c r="G11" s="54"/>
      <c r="H11" s="55">
        <f t="shared" si="0"/>
        <v>0</v>
      </c>
    </row>
    <row r="12" spans="1:8" ht="24" x14ac:dyDescent="0.2">
      <c r="A12" s="9" t="s">
        <v>19</v>
      </c>
      <c r="B12" s="10" t="s">
        <v>22</v>
      </c>
      <c r="C12" s="87"/>
      <c r="D12" s="87"/>
      <c r="E12" s="87"/>
      <c r="F12" s="53"/>
      <c r="G12" s="54"/>
      <c r="H12" s="55">
        <f t="shared" si="0"/>
        <v>0</v>
      </c>
    </row>
    <row r="13" spans="1:8" ht="24" x14ac:dyDescent="0.2">
      <c r="A13" s="9" t="s">
        <v>21</v>
      </c>
      <c r="B13" s="10" t="s">
        <v>24</v>
      </c>
      <c r="C13" s="87"/>
      <c r="D13" s="87"/>
      <c r="E13" s="87"/>
      <c r="F13" s="53"/>
      <c r="G13" s="54"/>
      <c r="H13" s="55">
        <f t="shared" si="0"/>
        <v>0</v>
      </c>
    </row>
    <row r="14" spans="1:8" ht="24" x14ac:dyDescent="0.2">
      <c r="A14" s="9" t="s">
        <v>23</v>
      </c>
      <c r="B14" s="10" t="s">
        <v>26</v>
      </c>
      <c r="C14" s="87"/>
      <c r="D14" s="87"/>
      <c r="E14" s="87"/>
      <c r="F14" s="53"/>
      <c r="G14" s="54"/>
      <c r="H14" s="55">
        <f t="shared" si="0"/>
        <v>0</v>
      </c>
    </row>
    <row r="15" spans="1:8" ht="48" x14ac:dyDescent="0.2">
      <c r="A15" s="9" t="s">
        <v>25</v>
      </c>
      <c r="B15" s="10" t="s">
        <v>375</v>
      </c>
      <c r="C15" s="87"/>
      <c r="D15" s="87"/>
      <c r="E15" s="87"/>
      <c r="F15" s="53"/>
      <c r="G15" s="54"/>
      <c r="H15" s="55">
        <f t="shared" si="0"/>
        <v>0</v>
      </c>
    </row>
    <row r="16" spans="1:8" ht="46.5" customHeight="1" x14ac:dyDescent="0.2">
      <c r="A16" s="9" t="s">
        <v>27</v>
      </c>
      <c r="B16" s="10" t="s">
        <v>28</v>
      </c>
      <c r="C16" s="87"/>
      <c r="D16" s="87"/>
      <c r="E16" s="87"/>
      <c r="F16" s="53"/>
      <c r="G16" s="54"/>
      <c r="H16" s="55">
        <f t="shared" si="0"/>
        <v>0</v>
      </c>
    </row>
    <row r="17" spans="1:8" ht="17.100000000000001" customHeight="1" x14ac:dyDescent="0.2">
      <c r="A17" s="5">
        <v>2</v>
      </c>
      <c r="B17" s="6" t="s">
        <v>29</v>
      </c>
      <c r="C17" s="90" t="s">
        <v>8</v>
      </c>
      <c r="D17" s="90"/>
      <c r="E17" s="90"/>
      <c r="F17" s="7"/>
      <c r="G17" s="8"/>
      <c r="H17" s="8">
        <f>SUM(H5:H16)</f>
        <v>0</v>
      </c>
    </row>
    <row r="18" spans="1:8" ht="30" customHeight="1" x14ac:dyDescent="0.2">
      <c r="A18" s="9" t="s">
        <v>30</v>
      </c>
      <c r="B18" s="10" t="s">
        <v>31</v>
      </c>
      <c r="C18" s="87"/>
      <c r="D18" s="87"/>
      <c r="E18" s="87"/>
      <c r="F18" s="53"/>
      <c r="G18" s="54"/>
      <c r="H18" s="55">
        <f t="shared" ref="H18:H24" si="1">IF(C18&gt;"",CODE(C18)+LEN(C18),0)</f>
        <v>0</v>
      </c>
    </row>
    <row r="19" spans="1:8" ht="24" x14ac:dyDescent="0.2">
      <c r="A19" s="9" t="s">
        <v>32</v>
      </c>
      <c r="B19" s="10" t="s">
        <v>33</v>
      </c>
      <c r="C19" s="87"/>
      <c r="D19" s="87"/>
      <c r="E19" s="87"/>
      <c r="F19" s="53"/>
      <c r="G19" s="54"/>
      <c r="H19" s="55">
        <f t="shared" si="1"/>
        <v>0</v>
      </c>
    </row>
    <row r="20" spans="1:8" ht="24" x14ac:dyDescent="0.2">
      <c r="A20" s="9" t="s">
        <v>34</v>
      </c>
      <c r="B20" s="10" t="s">
        <v>35</v>
      </c>
      <c r="C20" s="87"/>
      <c r="D20" s="87"/>
      <c r="E20" s="87"/>
      <c r="F20" s="53"/>
      <c r="G20" s="54"/>
      <c r="H20" s="55">
        <f t="shared" si="1"/>
        <v>0</v>
      </c>
    </row>
    <row r="21" spans="1:8" ht="30" customHeight="1" x14ac:dyDescent="0.2">
      <c r="A21" s="9" t="s">
        <v>36</v>
      </c>
      <c r="B21" s="10" t="s">
        <v>37</v>
      </c>
      <c r="C21" s="87"/>
      <c r="D21" s="87"/>
      <c r="E21" s="87"/>
      <c r="F21" s="53"/>
      <c r="G21" s="54"/>
      <c r="H21" s="55">
        <f t="shared" si="1"/>
        <v>0</v>
      </c>
    </row>
    <row r="22" spans="1:8" ht="30.75" customHeight="1" x14ac:dyDescent="0.2">
      <c r="A22" s="9" t="s">
        <v>38</v>
      </c>
      <c r="B22" s="10" t="s">
        <v>39</v>
      </c>
      <c r="C22" s="87"/>
      <c r="D22" s="87"/>
      <c r="E22" s="87"/>
      <c r="F22" s="53"/>
      <c r="G22" s="54"/>
      <c r="H22" s="55">
        <f t="shared" si="1"/>
        <v>0</v>
      </c>
    </row>
    <row r="23" spans="1:8" ht="24" x14ac:dyDescent="0.2">
      <c r="A23" s="9" t="s">
        <v>40</v>
      </c>
      <c r="B23" s="10" t="s">
        <v>41</v>
      </c>
      <c r="C23" s="87"/>
      <c r="D23" s="87"/>
      <c r="E23" s="87"/>
      <c r="F23" s="53"/>
      <c r="G23" s="54"/>
      <c r="H23" s="55">
        <f t="shared" si="1"/>
        <v>0</v>
      </c>
    </row>
    <row r="24" spans="1:8" ht="35.25" x14ac:dyDescent="0.2">
      <c r="A24" s="9" t="s">
        <v>42</v>
      </c>
      <c r="B24" s="10" t="s">
        <v>374</v>
      </c>
      <c r="C24" s="87"/>
      <c r="D24" s="87"/>
      <c r="E24" s="87"/>
      <c r="F24" s="56"/>
      <c r="G24" s="57"/>
      <c r="H24" s="58">
        <f t="shared" si="1"/>
        <v>0</v>
      </c>
    </row>
    <row r="25" spans="1:8" ht="28.5" customHeight="1" x14ac:dyDescent="0.2">
      <c r="A25" s="5">
        <v>3</v>
      </c>
      <c r="B25" s="6" t="s">
        <v>43</v>
      </c>
      <c r="C25" s="12" t="s">
        <v>67</v>
      </c>
      <c r="D25" s="12" t="s">
        <v>68</v>
      </c>
      <c r="E25" s="12" t="s">
        <v>8</v>
      </c>
      <c r="F25" s="7"/>
      <c r="G25" s="8"/>
      <c r="H25" s="8">
        <f>SUM(H18:H24)</f>
        <v>0</v>
      </c>
    </row>
    <row r="26" spans="1:8" ht="24" x14ac:dyDescent="0.2">
      <c r="A26" s="9" t="s">
        <v>44</v>
      </c>
      <c r="B26" s="10" t="s">
        <v>365</v>
      </c>
      <c r="C26" s="40"/>
      <c r="D26" s="40"/>
      <c r="E26" s="40"/>
      <c r="F26" s="53"/>
      <c r="G26" s="54"/>
      <c r="H26" s="55">
        <f t="shared" ref="H26:H43" si="2">IF(C26&gt;"",CODE(C26)+LEN(C26),0)</f>
        <v>0</v>
      </c>
    </row>
    <row r="27" spans="1:8" ht="39.75" customHeight="1" x14ac:dyDescent="0.2">
      <c r="A27" s="70" t="s">
        <v>45</v>
      </c>
      <c r="B27" s="69" t="s">
        <v>403</v>
      </c>
      <c r="C27" s="87"/>
      <c r="D27" s="87"/>
      <c r="E27" s="87"/>
      <c r="F27" s="53"/>
      <c r="G27" s="54"/>
      <c r="H27" s="55">
        <f t="shared" si="2"/>
        <v>0</v>
      </c>
    </row>
    <row r="28" spans="1:8" ht="60.75" x14ac:dyDescent="0.2">
      <c r="A28" s="9" t="s">
        <v>46</v>
      </c>
      <c r="B28" s="10" t="s">
        <v>354</v>
      </c>
      <c r="C28" s="15"/>
      <c r="D28" s="15"/>
      <c r="E28" s="15"/>
      <c r="F28" s="56"/>
      <c r="G28" s="57"/>
      <c r="H28" s="58">
        <f t="shared" si="2"/>
        <v>0</v>
      </c>
    </row>
    <row r="29" spans="1:8" ht="24" x14ac:dyDescent="0.2">
      <c r="A29" s="9" t="s">
        <v>47</v>
      </c>
      <c r="B29" s="10" t="s">
        <v>404</v>
      </c>
      <c r="C29" s="91"/>
      <c r="D29" s="92"/>
      <c r="E29" s="93"/>
      <c r="F29" s="56"/>
      <c r="G29" s="57"/>
      <c r="H29" s="58">
        <f t="shared" si="2"/>
        <v>0</v>
      </c>
    </row>
    <row r="30" spans="1:8" ht="60.75" x14ac:dyDescent="0.2">
      <c r="A30" s="9" t="s">
        <v>49</v>
      </c>
      <c r="B30" s="10" t="s">
        <v>405</v>
      </c>
      <c r="C30" s="15"/>
      <c r="D30" s="15"/>
      <c r="E30" s="15"/>
      <c r="F30" s="56"/>
      <c r="G30" s="57"/>
      <c r="H30" s="58">
        <f t="shared" si="2"/>
        <v>0</v>
      </c>
    </row>
    <row r="31" spans="1:8" ht="73.5" x14ac:dyDescent="0.2">
      <c r="A31" s="9" t="s">
        <v>51</v>
      </c>
      <c r="B31" s="10" t="s">
        <v>406</v>
      </c>
      <c r="C31" s="91"/>
      <c r="D31" s="92"/>
      <c r="E31" s="93"/>
      <c r="F31" s="56"/>
      <c r="G31" s="57"/>
      <c r="H31" s="58">
        <f t="shared" si="2"/>
        <v>0</v>
      </c>
    </row>
    <row r="32" spans="1:8" ht="25.5" x14ac:dyDescent="0.2">
      <c r="A32" s="9" t="s">
        <v>53</v>
      </c>
      <c r="B32" s="10" t="s">
        <v>48</v>
      </c>
      <c r="C32" s="87"/>
      <c r="D32" s="87"/>
      <c r="E32" s="87"/>
      <c r="F32" s="56"/>
      <c r="G32" s="57"/>
      <c r="H32" s="58">
        <f t="shared" si="2"/>
        <v>0</v>
      </c>
    </row>
    <row r="33" spans="1:8" ht="25.5" x14ac:dyDescent="0.2">
      <c r="A33" s="9" t="s">
        <v>55</v>
      </c>
      <c r="B33" s="10" t="s">
        <v>50</v>
      </c>
      <c r="C33" s="87"/>
      <c r="D33" s="87"/>
      <c r="E33" s="87"/>
      <c r="F33" s="56"/>
      <c r="G33" s="57"/>
      <c r="H33" s="58">
        <f t="shared" si="2"/>
        <v>0</v>
      </c>
    </row>
    <row r="34" spans="1:8" ht="25.5" x14ac:dyDescent="0.2">
      <c r="A34" s="9" t="s">
        <v>56</v>
      </c>
      <c r="B34" s="69" t="s">
        <v>52</v>
      </c>
      <c r="C34" s="87"/>
      <c r="D34" s="87"/>
      <c r="E34" s="87"/>
      <c r="F34" s="56"/>
      <c r="G34" s="57"/>
      <c r="H34" s="58">
        <f t="shared" si="2"/>
        <v>0</v>
      </c>
    </row>
    <row r="35" spans="1:8" ht="24" x14ac:dyDescent="0.2">
      <c r="A35" s="10" t="s">
        <v>57</v>
      </c>
      <c r="B35" s="10" t="s">
        <v>54</v>
      </c>
      <c r="C35" s="93"/>
      <c r="D35" s="87"/>
      <c r="E35" s="87"/>
      <c r="F35" s="53"/>
      <c r="G35" s="54"/>
      <c r="H35" s="55">
        <f t="shared" si="2"/>
        <v>0</v>
      </c>
    </row>
    <row r="36" spans="1:8" ht="48" x14ac:dyDescent="0.2">
      <c r="A36" s="45" t="s">
        <v>356</v>
      </c>
      <c r="B36" s="10" t="s">
        <v>407</v>
      </c>
      <c r="C36" s="15"/>
      <c r="D36" s="15"/>
      <c r="E36" s="15"/>
      <c r="F36" s="56"/>
      <c r="G36" s="57"/>
      <c r="H36" s="58">
        <f t="shared" si="2"/>
        <v>0</v>
      </c>
    </row>
    <row r="37" spans="1:8" ht="24" x14ac:dyDescent="0.2">
      <c r="A37" s="45" t="s">
        <v>357</v>
      </c>
      <c r="B37" s="10" t="s">
        <v>408</v>
      </c>
      <c r="C37" s="87"/>
      <c r="D37" s="87"/>
      <c r="E37" s="87"/>
      <c r="F37" s="56"/>
      <c r="G37" s="57"/>
      <c r="H37" s="58">
        <f t="shared" si="2"/>
        <v>0</v>
      </c>
    </row>
    <row r="38" spans="1:8" ht="25.5" x14ac:dyDescent="0.2">
      <c r="A38" s="45" t="s">
        <v>358</v>
      </c>
      <c r="B38" s="10" t="s">
        <v>366</v>
      </c>
      <c r="C38" s="15"/>
      <c r="D38" s="15"/>
      <c r="E38" s="15"/>
      <c r="F38" s="56"/>
      <c r="G38" s="57"/>
      <c r="H38" s="58">
        <f t="shared" si="2"/>
        <v>0</v>
      </c>
    </row>
    <row r="39" spans="1:8" ht="36.75" x14ac:dyDescent="0.2">
      <c r="A39" s="45" t="s">
        <v>359</v>
      </c>
      <c r="B39" s="10" t="s">
        <v>409</v>
      </c>
      <c r="C39" s="15"/>
      <c r="D39" s="15"/>
      <c r="E39" s="15"/>
      <c r="F39" s="56"/>
      <c r="G39" s="57"/>
      <c r="H39" s="58">
        <f t="shared" si="2"/>
        <v>0</v>
      </c>
    </row>
    <row r="40" spans="1:8" ht="48" x14ac:dyDescent="0.2">
      <c r="A40" s="9" t="s">
        <v>358</v>
      </c>
      <c r="B40" s="10" t="s">
        <v>401</v>
      </c>
      <c r="C40" s="15"/>
      <c r="D40" s="15"/>
      <c r="E40" s="15"/>
      <c r="F40" s="46"/>
      <c r="G40" s="47"/>
      <c r="H40" s="48">
        <f t="shared" si="2"/>
        <v>0</v>
      </c>
    </row>
    <row r="41" spans="1:8" ht="24" x14ac:dyDescent="0.2">
      <c r="A41" s="9" t="s">
        <v>359</v>
      </c>
      <c r="B41" s="10" t="s">
        <v>410</v>
      </c>
      <c r="C41" s="87"/>
      <c r="D41" s="87"/>
      <c r="E41" s="87"/>
      <c r="F41" s="46"/>
      <c r="G41" s="47"/>
      <c r="H41" s="48">
        <f t="shared" si="2"/>
        <v>0</v>
      </c>
    </row>
    <row r="42" spans="1:8" ht="48" x14ac:dyDescent="0.2">
      <c r="A42" s="9" t="s">
        <v>360</v>
      </c>
      <c r="B42" s="10" t="s">
        <v>421</v>
      </c>
      <c r="C42" s="15"/>
      <c r="D42" s="15"/>
      <c r="E42" s="15"/>
      <c r="F42" s="56"/>
      <c r="G42" s="57"/>
      <c r="H42" s="58">
        <f t="shared" si="2"/>
        <v>0</v>
      </c>
    </row>
    <row r="43" spans="1:8" ht="36.75" x14ac:dyDescent="0.2">
      <c r="A43" s="9" t="s">
        <v>362</v>
      </c>
      <c r="B43" s="10" t="s">
        <v>412</v>
      </c>
      <c r="C43" s="91"/>
      <c r="D43" s="92"/>
      <c r="E43" s="93"/>
      <c r="F43" s="53"/>
      <c r="G43" s="54"/>
      <c r="H43" s="55">
        <f t="shared" si="2"/>
        <v>0</v>
      </c>
    </row>
    <row r="44" spans="1:8" ht="50.25" customHeight="1" x14ac:dyDescent="0.2">
      <c r="A44" s="43">
        <v>4</v>
      </c>
      <c r="B44" s="42" t="s">
        <v>58</v>
      </c>
      <c r="C44" s="12" t="s">
        <v>67</v>
      </c>
      <c r="D44" s="12" t="s">
        <v>68</v>
      </c>
      <c r="E44" s="12" t="s">
        <v>8</v>
      </c>
      <c r="F44" s="7"/>
      <c r="G44" s="8"/>
      <c r="H44" s="8">
        <f>SUM(H26:H43)</f>
        <v>0</v>
      </c>
    </row>
    <row r="45" spans="1:8" ht="36.75" x14ac:dyDescent="0.2">
      <c r="A45" s="9" t="s">
        <v>59</v>
      </c>
      <c r="B45" s="10" t="s">
        <v>60</v>
      </c>
      <c r="C45" s="87"/>
      <c r="D45" s="87"/>
      <c r="E45" s="87"/>
      <c r="F45" s="53"/>
      <c r="G45" s="54"/>
      <c r="H45" s="55">
        <f t="shared" ref="H45:H46" si="3">IF(C45&gt;"",CODE(C45)+LEN(C45),0)</f>
        <v>0</v>
      </c>
    </row>
    <row r="46" spans="1:8" ht="36.75" x14ac:dyDescent="0.2">
      <c r="A46" s="9" t="s">
        <v>61</v>
      </c>
      <c r="B46" s="10" t="s">
        <v>62</v>
      </c>
      <c r="C46" s="87"/>
      <c r="D46" s="87"/>
      <c r="E46" s="87"/>
      <c r="F46" s="59"/>
      <c r="G46" s="60"/>
      <c r="H46" s="55">
        <f t="shared" si="3"/>
        <v>0</v>
      </c>
    </row>
    <row r="47" spans="1:8" ht="48" x14ac:dyDescent="0.2">
      <c r="A47" s="9" t="s">
        <v>63</v>
      </c>
      <c r="B47" s="10" t="s">
        <v>64</v>
      </c>
      <c r="C47" s="87"/>
      <c r="D47" s="87"/>
      <c r="E47" s="87"/>
      <c r="F47" s="61" t="s">
        <v>65</v>
      </c>
      <c r="G47" s="62" t="s">
        <v>66</v>
      </c>
      <c r="H47" s="55">
        <f>IF(C47&gt;"",CODE(C47)+LEN(C47),0)</f>
        <v>0</v>
      </c>
    </row>
    <row r="48" spans="1:8" ht="60.75" x14ac:dyDescent="0.2">
      <c r="A48" s="9" t="s">
        <v>69</v>
      </c>
      <c r="B48" s="10" t="s">
        <v>372</v>
      </c>
      <c r="C48" s="15"/>
      <c r="D48" s="15"/>
      <c r="E48" s="15"/>
      <c r="F48" s="63">
        <v>2</v>
      </c>
      <c r="G48" s="55">
        <f>IF(C48="X",F48,0)</f>
        <v>0</v>
      </c>
      <c r="H48" s="55">
        <f>IF(C48="x",44,IF(D48="x",44*2,0))+IF(E48&gt;"",CODE(E48)+LEN(E48),0)</f>
        <v>0</v>
      </c>
    </row>
    <row r="49" spans="1:10" ht="91.5" customHeight="1" x14ac:dyDescent="0.2">
      <c r="A49" s="45" t="s">
        <v>70</v>
      </c>
      <c r="B49" s="10" t="s">
        <v>373</v>
      </c>
      <c r="C49" s="15"/>
      <c r="D49" s="15"/>
      <c r="E49" s="15"/>
      <c r="F49" s="55">
        <v>2</v>
      </c>
      <c r="G49" s="55">
        <f>IF(C49="X",F49,0)</f>
        <v>0</v>
      </c>
      <c r="H49" s="55">
        <f>IF(C49="x",45,IF(D49="x",45*2,0))+IF(E49&gt;"",CODE(E49)+LEN(E49),0)</f>
        <v>0</v>
      </c>
    </row>
    <row r="50" spans="1:10" ht="51" customHeight="1" x14ac:dyDescent="0.2">
      <c r="A50" s="44" t="s">
        <v>355</v>
      </c>
      <c r="B50" s="68" t="s">
        <v>400</v>
      </c>
      <c r="C50" s="106"/>
      <c r="D50" s="106"/>
      <c r="E50" s="106"/>
      <c r="F50" s="64"/>
      <c r="G50" s="64"/>
      <c r="H50" s="55">
        <f>IF(C50&gt;"",CODE(C50)+LEN(C50),0)</f>
        <v>0</v>
      </c>
    </row>
    <row r="51" spans="1:10" ht="28.5" x14ac:dyDescent="0.2">
      <c r="A51" s="5">
        <v>5</v>
      </c>
      <c r="B51" s="6" t="s">
        <v>71</v>
      </c>
      <c r="C51" s="12" t="s">
        <v>67</v>
      </c>
      <c r="D51" s="12" t="s">
        <v>68</v>
      </c>
      <c r="E51" s="12" t="s">
        <v>72</v>
      </c>
      <c r="F51" s="13"/>
      <c r="G51" s="14"/>
      <c r="H51" s="8">
        <f>SUM(H45:H50)</f>
        <v>0</v>
      </c>
    </row>
    <row r="52" spans="1:10" ht="71.25" customHeight="1" x14ac:dyDescent="0.2">
      <c r="A52" s="85" t="s">
        <v>420</v>
      </c>
      <c r="B52" s="85"/>
      <c r="C52" s="85"/>
      <c r="D52" s="85"/>
      <c r="E52" s="85"/>
      <c r="F52" s="13"/>
      <c r="G52" s="14"/>
      <c r="H52" s="8"/>
    </row>
    <row r="53" spans="1:10" ht="48" x14ac:dyDescent="0.2">
      <c r="A53" s="9" t="s">
        <v>73</v>
      </c>
      <c r="B53" s="10" t="s">
        <v>345</v>
      </c>
      <c r="C53" s="15"/>
      <c r="D53" s="15"/>
      <c r="E53" s="15"/>
      <c r="F53" s="63">
        <v>1</v>
      </c>
      <c r="G53" s="55">
        <f>IF(C53="X",F53,0)</f>
        <v>0</v>
      </c>
      <c r="H53" s="55">
        <f>IF(C53="x",51,IF(D53="x",51*2,0))+IF(E53&gt;"",CODE(E53)+LEN(E53),0)</f>
        <v>0</v>
      </c>
    </row>
    <row r="54" spans="1:10" ht="90.75" customHeight="1" x14ac:dyDescent="0.2">
      <c r="A54" s="9" t="s">
        <v>74</v>
      </c>
      <c r="B54" s="16" t="s">
        <v>346</v>
      </c>
      <c r="C54" s="15"/>
      <c r="D54" s="15"/>
      <c r="E54" s="15"/>
      <c r="F54" s="65">
        <v>78</v>
      </c>
      <c r="G54" s="58"/>
      <c r="H54" s="58">
        <f>IF(C54="x",52,IF(D54="x",52*2,0))+IF(E54&gt;"",CODE(E54)+LEN(E54),0)</f>
        <v>0</v>
      </c>
    </row>
    <row r="55" spans="1:10" ht="90.75" customHeight="1" x14ac:dyDescent="0.2">
      <c r="A55" s="9" t="s">
        <v>75</v>
      </c>
      <c r="B55" s="10" t="s">
        <v>352</v>
      </c>
      <c r="C55" s="15"/>
      <c r="D55" s="15"/>
      <c r="E55" s="15"/>
      <c r="F55" s="65">
        <v>78</v>
      </c>
      <c r="G55" s="58">
        <f>IF(OR(C54="X",C55="X"),78,0)</f>
        <v>0</v>
      </c>
      <c r="H55" s="58">
        <f>IF(C55="x",55,IF(D55="x",55*2,0))+IF(E55&gt;"",CODE(E55)+LEN(E55),0)</f>
        <v>0</v>
      </c>
    </row>
    <row r="56" spans="1:10" ht="55.5" customHeight="1" x14ac:dyDescent="0.2">
      <c r="A56" s="9" t="s">
        <v>76</v>
      </c>
      <c r="B56" s="10" t="s">
        <v>422</v>
      </c>
      <c r="C56" s="15"/>
      <c r="D56" s="15"/>
      <c r="E56" s="15"/>
      <c r="F56" s="37"/>
      <c r="G56" s="36"/>
      <c r="H56" s="36">
        <f t="shared" ref="H56:H57" si="4">IF(C56="x",55,IF(D56="x",55*2,0))+IF(E56&gt;"",CODE(E56)+LEN(E56),0)</f>
        <v>0</v>
      </c>
      <c r="J56" s="29"/>
    </row>
    <row r="57" spans="1:10" ht="68.25" customHeight="1" x14ac:dyDescent="0.2">
      <c r="A57" s="9" t="s">
        <v>324</v>
      </c>
      <c r="B57" s="10" t="s">
        <v>415</v>
      </c>
      <c r="C57" s="15"/>
      <c r="D57" s="15"/>
      <c r="E57" s="15"/>
      <c r="F57" s="65"/>
      <c r="G57" s="58"/>
      <c r="H57" s="58">
        <f t="shared" si="4"/>
        <v>0</v>
      </c>
      <c r="J57" s="29"/>
    </row>
    <row r="58" spans="1:10" ht="36.75" x14ac:dyDescent="0.2">
      <c r="A58" s="9" t="s">
        <v>77</v>
      </c>
      <c r="B58" s="10" t="s">
        <v>369</v>
      </c>
      <c r="C58" s="15"/>
      <c r="D58" s="15"/>
      <c r="E58" s="15"/>
      <c r="F58" s="63">
        <v>2</v>
      </c>
      <c r="G58" s="55">
        <f t="shared" ref="G58:G120" si="5">IF(C58="X",F58,0)</f>
        <v>0</v>
      </c>
      <c r="H58" s="55">
        <f>IF(C58="x",56,IF(D58="x",56*2,0))+IF(E58&gt;"",CODE(E58)+LEN(E58),0)</f>
        <v>0</v>
      </c>
    </row>
    <row r="59" spans="1:10" ht="50.25" customHeight="1" x14ac:dyDescent="0.2">
      <c r="A59" s="9" t="s">
        <v>78</v>
      </c>
      <c r="B59" s="10" t="s">
        <v>423</v>
      </c>
      <c r="C59" s="15"/>
      <c r="D59" s="15"/>
      <c r="E59" s="15"/>
      <c r="F59" s="63">
        <v>2</v>
      </c>
      <c r="G59" s="55">
        <f t="shared" si="5"/>
        <v>0</v>
      </c>
      <c r="H59" s="55">
        <f>IF(C59="x",57,IF(D59="x",57*2,0))+IF(E59&gt;"",CODE(E59)+LEN(E59),0)</f>
        <v>0</v>
      </c>
    </row>
    <row r="60" spans="1:10" ht="51.75" customHeight="1" x14ac:dyDescent="0.2">
      <c r="A60" s="9" t="s">
        <v>79</v>
      </c>
      <c r="B60" s="10" t="s">
        <v>417</v>
      </c>
      <c r="C60" s="15"/>
      <c r="D60" s="15"/>
      <c r="E60" s="15"/>
      <c r="F60" s="63">
        <v>1</v>
      </c>
      <c r="G60" s="55">
        <f t="shared" si="5"/>
        <v>0</v>
      </c>
      <c r="H60" s="55">
        <f>IF(C60="x",58,IF(D60="x",58*2,0))+IF(E60&gt;"",CODE(E60)+LEN(E60),0)</f>
        <v>0</v>
      </c>
    </row>
    <row r="61" spans="1:10" ht="60.75" x14ac:dyDescent="0.2">
      <c r="A61" s="9"/>
      <c r="B61" s="10" t="s">
        <v>371</v>
      </c>
      <c r="C61" s="15"/>
      <c r="D61" s="15"/>
      <c r="E61" s="15"/>
      <c r="F61" s="63"/>
      <c r="G61" s="55"/>
      <c r="H61" s="55">
        <f>IF(C61="x",58,IF(D61="x",58*2,0))+IF(E61&gt;"",CODE(E61)+LEN(E61),0)</f>
        <v>0</v>
      </c>
    </row>
    <row r="62" spans="1:10" ht="28.5" customHeight="1" x14ac:dyDescent="0.2">
      <c r="A62" s="9" t="s">
        <v>80</v>
      </c>
      <c r="B62" s="10" t="s">
        <v>81</v>
      </c>
      <c r="C62" s="15"/>
      <c r="D62" s="15"/>
      <c r="E62" s="15"/>
      <c r="F62" s="63">
        <v>1</v>
      </c>
      <c r="G62" s="55">
        <f t="shared" si="5"/>
        <v>0</v>
      </c>
      <c r="H62" s="55">
        <f>IF(C62="x",59,IF(D62="x",59*2,0))+IF(E62&gt;"",CODE(E62)+LEN(E62),0)</f>
        <v>0</v>
      </c>
    </row>
    <row r="63" spans="1:10" ht="15.75" x14ac:dyDescent="0.2">
      <c r="A63" s="5">
        <v>6</v>
      </c>
      <c r="B63" s="17" t="s">
        <v>82</v>
      </c>
      <c r="C63" s="12" t="s">
        <v>67</v>
      </c>
      <c r="D63" s="12" t="s">
        <v>68</v>
      </c>
      <c r="E63" s="12" t="s">
        <v>8</v>
      </c>
      <c r="F63" s="13"/>
      <c r="G63" s="14"/>
      <c r="H63" s="8">
        <f>SUM(H53:H62)</f>
        <v>0</v>
      </c>
    </row>
    <row r="64" spans="1:10" ht="49.5" customHeight="1" x14ac:dyDescent="0.2">
      <c r="A64" s="9" t="s">
        <v>83</v>
      </c>
      <c r="B64" s="10" t="s">
        <v>379</v>
      </c>
      <c r="C64" s="18"/>
      <c r="D64" s="18"/>
      <c r="E64" s="15"/>
      <c r="F64" s="63">
        <v>2</v>
      </c>
      <c r="G64" s="55">
        <f t="shared" ref="G64:G71" si="6">IF(C64="X",F64,0)</f>
        <v>0</v>
      </c>
      <c r="H64" s="55">
        <f>IF(C64="x",61,IF(D64="x",61*2,0))+IF(E64&gt;"",CODE(E64)+LEN(E64),0)</f>
        <v>0</v>
      </c>
    </row>
    <row r="65" spans="1:8" ht="24" x14ac:dyDescent="0.2">
      <c r="A65" s="9" t="s">
        <v>84</v>
      </c>
      <c r="B65" s="10" t="s">
        <v>85</v>
      </c>
      <c r="C65" s="18"/>
      <c r="D65" s="18"/>
      <c r="E65" s="15"/>
      <c r="F65" s="63">
        <v>1</v>
      </c>
      <c r="G65" s="55">
        <f t="shared" si="6"/>
        <v>0</v>
      </c>
      <c r="H65" s="55">
        <f>IF(C65="x",62,IF(D65="x",62*2,0))+IF(E65&gt;"",CODE(E65)+LEN(E65),0)</f>
        <v>0</v>
      </c>
    </row>
    <row r="66" spans="1:8" ht="25.5" x14ac:dyDescent="0.2">
      <c r="A66" s="9" t="s">
        <v>86</v>
      </c>
      <c r="B66" s="10" t="s">
        <v>363</v>
      </c>
      <c r="C66" s="18"/>
      <c r="D66" s="18"/>
      <c r="E66" s="15"/>
      <c r="F66" s="65">
        <v>1</v>
      </c>
      <c r="G66" s="58">
        <f t="shared" si="6"/>
        <v>0</v>
      </c>
      <c r="H66" s="58">
        <f>IF(C66="x",63,IF(D66="x",63*2,0))+IF(E66&gt;"",CODE(E66)+LEN(E66),0)</f>
        <v>0</v>
      </c>
    </row>
    <row r="67" spans="1:8" ht="32.25" customHeight="1" x14ac:dyDescent="0.2">
      <c r="A67" s="9" t="s">
        <v>87</v>
      </c>
      <c r="B67" s="10" t="s">
        <v>418</v>
      </c>
      <c r="C67" s="94"/>
      <c r="D67" s="95"/>
      <c r="E67" s="96"/>
      <c r="F67" s="65"/>
      <c r="G67" s="58"/>
      <c r="H67" s="58">
        <f>IF(C67&gt;"",CODE(C67)+LEN(C67),0)</f>
        <v>0</v>
      </c>
    </row>
    <row r="68" spans="1:8" ht="24" x14ac:dyDescent="0.2">
      <c r="A68" s="9" t="s">
        <v>89</v>
      </c>
      <c r="B68" s="10" t="s">
        <v>88</v>
      </c>
      <c r="C68" s="18"/>
      <c r="D68" s="18"/>
      <c r="E68" s="15"/>
      <c r="F68" s="63">
        <v>1</v>
      </c>
      <c r="G68" s="55">
        <f t="shared" si="6"/>
        <v>0</v>
      </c>
      <c r="H68" s="55">
        <f>IF(C68="x",64,IF(D68="x",64*2,0))+IF(E68&gt;"",CODE(E68)+LEN(E68),0)</f>
        <v>0</v>
      </c>
    </row>
    <row r="69" spans="1:8" ht="24" x14ac:dyDescent="0.2">
      <c r="A69" s="9" t="s">
        <v>91</v>
      </c>
      <c r="B69" s="10" t="s">
        <v>90</v>
      </c>
      <c r="C69" s="18"/>
      <c r="D69" s="18"/>
      <c r="E69" s="15"/>
      <c r="F69" s="63">
        <v>1</v>
      </c>
      <c r="G69" s="55">
        <f t="shared" si="6"/>
        <v>0</v>
      </c>
      <c r="H69" s="55">
        <f>IF(C69="x",65,IF(D69="x",65*2,0))+IF(E69&gt;"",CODE(E69)+LEN(E69),0)</f>
        <v>0</v>
      </c>
    </row>
    <row r="70" spans="1:8" ht="24" x14ac:dyDescent="0.2">
      <c r="A70" s="9" t="s">
        <v>93</v>
      </c>
      <c r="B70" s="10" t="s">
        <v>92</v>
      </c>
      <c r="C70" s="18"/>
      <c r="D70" s="18"/>
      <c r="E70" s="15"/>
      <c r="F70" s="63">
        <v>1</v>
      </c>
      <c r="G70" s="55">
        <f t="shared" si="6"/>
        <v>0</v>
      </c>
      <c r="H70" s="55">
        <f>IF(C70="x",66,IF(D70="x",66*2,0))+IF(E70&gt;"",CODE(E70)+LEN(E70),0)</f>
        <v>0</v>
      </c>
    </row>
    <row r="71" spans="1:8" ht="36.75" x14ac:dyDescent="0.2">
      <c r="A71" s="9" t="s">
        <v>364</v>
      </c>
      <c r="B71" s="10" t="s">
        <v>94</v>
      </c>
      <c r="C71" s="18"/>
      <c r="D71" s="18"/>
      <c r="E71" s="15"/>
      <c r="F71" s="63">
        <v>1</v>
      </c>
      <c r="G71" s="55">
        <f t="shared" si="6"/>
        <v>0</v>
      </c>
      <c r="H71" s="55">
        <f>IF(C71="x",67,IF(D71="x",67*2,0))+IF(E71&gt;"",CODE(E71)+LEN(E71),0)</f>
        <v>0</v>
      </c>
    </row>
    <row r="72" spans="1:8" ht="28.5" x14ac:dyDescent="0.2">
      <c r="A72" s="5">
        <v>7</v>
      </c>
      <c r="B72" s="6" t="s">
        <v>95</v>
      </c>
      <c r="C72" s="12" t="s">
        <v>67</v>
      </c>
      <c r="D72" s="12" t="s">
        <v>68</v>
      </c>
      <c r="E72" s="12" t="s">
        <v>8</v>
      </c>
      <c r="F72" s="13"/>
      <c r="G72" s="14"/>
      <c r="H72" s="8">
        <f>SUM(H64:H71)</f>
        <v>0</v>
      </c>
    </row>
    <row r="73" spans="1:8" ht="36.75" x14ac:dyDescent="0.2">
      <c r="A73" s="9" t="s">
        <v>96</v>
      </c>
      <c r="B73" s="10" t="s">
        <v>97</v>
      </c>
      <c r="C73" s="18"/>
      <c r="D73" s="18"/>
      <c r="E73" s="15"/>
      <c r="F73" s="63">
        <v>1</v>
      </c>
      <c r="G73" s="55">
        <f t="shared" ref="G73:G80" si="7">IF(C73="X",F73,0)</f>
        <v>0</v>
      </c>
      <c r="H73" s="55">
        <f>IF(C73="x",71,IF(D73="x",71*2,0))+IF(E73&gt;"",CODE(E73)+LEN(E73),0)</f>
        <v>0</v>
      </c>
    </row>
    <row r="74" spans="1:8" ht="24" x14ac:dyDescent="0.2">
      <c r="A74" s="9" t="s">
        <v>98</v>
      </c>
      <c r="B74" s="10" t="s">
        <v>99</v>
      </c>
      <c r="C74" s="18"/>
      <c r="D74" s="18"/>
      <c r="E74" s="15"/>
      <c r="F74" s="63">
        <v>1</v>
      </c>
      <c r="G74" s="55">
        <f t="shared" si="7"/>
        <v>0</v>
      </c>
      <c r="H74" s="55">
        <f>IF(C74="x",72,IF(D74="x",72*2,0))+IF(E74&gt;"",CODE(E74)+LEN(E74),0)</f>
        <v>0</v>
      </c>
    </row>
    <row r="75" spans="1:8" ht="48" x14ac:dyDescent="0.2">
      <c r="A75" s="9" t="s">
        <v>100</v>
      </c>
      <c r="B75" s="10" t="s">
        <v>101</v>
      </c>
      <c r="C75" s="18"/>
      <c r="D75" s="18"/>
      <c r="E75" s="15"/>
      <c r="F75" s="63">
        <v>2</v>
      </c>
      <c r="G75" s="55">
        <f t="shared" si="7"/>
        <v>0</v>
      </c>
      <c r="H75" s="55">
        <f>IF(C75="x",73,IF(D75="x",73*2,0))+IF(E75&gt;"",CODE(E75)+LEN(E75),0)</f>
        <v>0</v>
      </c>
    </row>
    <row r="76" spans="1:8" ht="88.5" customHeight="1" x14ac:dyDescent="0.2">
      <c r="A76" s="9" t="s">
        <v>102</v>
      </c>
      <c r="B76" s="10" t="s">
        <v>103</v>
      </c>
      <c r="C76" s="18"/>
      <c r="D76" s="18"/>
      <c r="E76" s="15"/>
      <c r="F76" s="63">
        <v>1</v>
      </c>
      <c r="G76" s="55">
        <f t="shared" si="7"/>
        <v>0</v>
      </c>
      <c r="H76" s="55">
        <f>IF(C76="x",74,IF(D76="x",74*2,0))+IF(E76&gt;"",CODE(E76)+LEN(E76),0)</f>
        <v>0</v>
      </c>
    </row>
    <row r="77" spans="1:8" ht="24" x14ac:dyDescent="0.2">
      <c r="A77" s="9" t="s">
        <v>104</v>
      </c>
      <c r="B77" s="10" t="s">
        <v>105</v>
      </c>
      <c r="C77" s="18"/>
      <c r="D77" s="18"/>
      <c r="E77" s="15"/>
      <c r="F77" s="63">
        <v>1</v>
      </c>
      <c r="G77" s="55">
        <f t="shared" si="7"/>
        <v>0</v>
      </c>
      <c r="H77" s="55">
        <f>IF(C77="x",75,IF(D77="x",75*2,0))+IF(E77&gt;"",CODE(E77)+LEN(E77),0)</f>
        <v>0</v>
      </c>
    </row>
    <row r="78" spans="1:8" ht="36.75" x14ac:dyDescent="0.2">
      <c r="A78" s="9" t="s">
        <v>106</v>
      </c>
      <c r="B78" s="10" t="s">
        <v>107</v>
      </c>
      <c r="C78" s="18"/>
      <c r="D78" s="18"/>
      <c r="E78" s="15"/>
      <c r="F78" s="63">
        <v>1</v>
      </c>
      <c r="G78" s="55">
        <f t="shared" si="7"/>
        <v>0</v>
      </c>
      <c r="H78" s="55">
        <f>IF(C78="x",76,IF(D78="x",76*2,0))+IF(E78&gt;"",CODE(E78)+LEN(E78),0)</f>
        <v>0</v>
      </c>
    </row>
    <row r="79" spans="1:8" ht="36.75" x14ac:dyDescent="0.2">
      <c r="A79" s="9" t="s">
        <v>108</v>
      </c>
      <c r="B79" s="10" t="s">
        <v>109</v>
      </c>
      <c r="C79" s="18"/>
      <c r="D79" s="18"/>
      <c r="E79" s="15"/>
      <c r="F79" s="63">
        <v>1</v>
      </c>
      <c r="G79" s="55">
        <f t="shared" si="7"/>
        <v>0</v>
      </c>
      <c r="H79" s="55">
        <f>IF(C79="x",77,IF(D79="x",77*2,0))+IF(E79&gt;"",CODE(E79)+LEN(E79),0)</f>
        <v>0</v>
      </c>
    </row>
    <row r="80" spans="1:8" ht="51" customHeight="1" x14ac:dyDescent="0.2">
      <c r="A80" s="9" t="s">
        <v>110</v>
      </c>
      <c r="B80" s="10" t="s">
        <v>111</v>
      </c>
      <c r="C80" s="18"/>
      <c r="D80" s="18"/>
      <c r="E80" s="15"/>
      <c r="F80" s="63">
        <v>1</v>
      </c>
      <c r="G80" s="55">
        <f t="shared" si="7"/>
        <v>0</v>
      </c>
      <c r="H80" s="55">
        <f>IF(C80="x",78,IF(D80="x",78*2,0))+IF(E80&gt;"",CODE(E80)+LEN(E80),0)</f>
        <v>0</v>
      </c>
    </row>
    <row r="81" spans="1:8" ht="12.75" customHeight="1" x14ac:dyDescent="0.2">
      <c r="A81" s="9" t="s">
        <v>112</v>
      </c>
      <c r="B81" s="16" t="s">
        <v>113</v>
      </c>
      <c r="C81" s="39"/>
      <c r="D81" s="39"/>
      <c r="F81" s="63">
        <v>1</v>
      </c>
      <c r="G81" s="55">
        <f>IF(C81="X",F81,0)</f>
        <v>0</v>
      </c>
      <c r="H81" s="55">
        <f>IF(C81="x",790,IF(D81="x",790*2,0))</f>
        <v>0</v>
      </c>
    </row>
    <row r="82" spans="1:8" ht="12.75" customHeight="1" x14ac:dyDescent="0.2">
      <c r="A82" s="9" t="s">
        <v>114</v>
      </c>
      <c r="B82" s="16" t="s">
        <v>115</v>
      </c>
      <c r="C82" s="39"/>
      <c r="D82" s="40"/>
      <c r="E82" s="41"/>
      <c r="F82" s="63">
        <v>1</v>
      </c>
      <c r="G82" s="55">
        <f>IF(C82="X",F82,0)</f>
        <v>0</v>
      </c>
      <c r="H82" s="55">
        <f>IF(C82="x",791,IF(D82="x",791*2,0))</f>
        <v>0</v>
      </c>
    </row>
    <row r="83" spans="1:8" ht="12.75" customHeight="1" x14ac:dyDescent="0.2">
      <c r="A83" s="9" t="s">
        <v>116</v>
      </c>
      <c r="B83" s="16" t="s">
        <v>117</v>
      </c>
      <c r="C83" s="39"/>
      <c r="D83" s="39"/>
      <c r="F83" s="63">
        <v>1</v>
      </c>
      <c r="G83" s="55">
        <f>IF(C83="X",F83,0)</f>
        <v>0</v>
      </c>
      <c r="H83" s="55">
        <f>IF(C83="x",792,IF(D83="x",792*2,0))</f>
        <v>0</v>
      </c>
    </row>
    <row r="84" spans="1:8" ht="12.75" customHeight="1" x14ac:dyDescent="0.2">
      <c r="A84" s="9" t="s">
        <v>118</v>
      </c>
      <c r="B84" s="16" t="s">
        <v>119</v>
      </c>
      <c r="C84" s="39"/>
      <c r="D84" s="39"/>
      <c r="F84" s="63">
        <v>1</v>
      </c>
      <c r="G84" s="55">
        <f>IF(C84="X",F84,0)</f>
        <v>0</v>
      </c>
      <c r="H84" s="55">
        <f>IF(C84="x",793,IF(D84="x",793*2,0))</f>
        <v>0</v>
      </c>
    </row>
    <row r="85" spans="1:8" ht="28.5" x14ac:dyDescent="0.2">
      <c r="A85" s="5">
        <v>8</v>
      </c>
      <c r="B85" s="6" t="s">
        <v>120</v>
      </c>
      <c r="C85" s="12" t="s">
        <v>67</v>
      </c>
      <c r="D85" s="12" t="s">
        <v>68</v>
      </c>
      <c r="E85" s="12" t="s">
        <v>8</v>
      </c>
      <c r="F85" s="13"/>
      <c r="G85" s="14"/>
      <c r="H85" s="8">
        <f>SUM(H73:H84)</f>
        <v>0</v>
      </c>
    </row>
    <row r="86" spans="1:8" ht="88.5" customHeight="1" x14ac:dyDescent="0.2">
      <c r="A86" s="9" t="s">
        <v>121</v>
      </c>
      <c r="B86" s="10" t="s">
        <v>122</v>
      </c>
      <c r="C86" s="18"/>
      <c r="D86" s="18"/>
      <c r="E86" s="15"/>
      <c r="F86" s="63">
        <v>2</v>
      </c>
      <c r="G86" s="55">
        <f t="shared" si="5"/>
        <v>0</v>
      </c>
      <c r="H86" s="55">
        <f>IF(C86="x",81,IF(D86="x",81*2,0))+IF(E86&gt;"",CODE(E86)+LEN(E86),0)</f>
        <v>0</v>
      </c>
    </row>
    <row r="87" spans="1:8" ht="113.25" customHeight="1" x14ac:dyDescent="0.2">
      <c r="A87" s="9" t="s">
        <v>123</v>
      </c>
      <c r="B87" s="10" t="s">
        <v>325</v>
      </c>
      <c r="C87" s="18"/>
      <c r="D87" s="18"/>
      <c r="E87" s="15"/>
      <c r="F87" s="63">
        <v>0</v>
      </c>
      <c r="G87" s="55">
        <f t="shared" si="5"/>
        <v>0</v>
      </c>
      <c r="H87" s="55">
        <f>IF(C87="x",82,IF(D87="x",82*2,0))+IF(E87&gt;"",CODE(E87)+LEN(E87),0)</f>
        <v>0</v>
      </c>
    </row>
    <row r="88" spans="1:8" ht="68.25" customHeight="1" x14ac:dyDescent="0.2">
      <c r="A88" s="11" t="s">
        <v>125</v>
      </c>
      <c r="B88" s="10" t="s">
        <v>380</v>
      </c>
      <c r="C88" s="18"/>
      <c r="D88" s="18"/>
      <c r="E88" s="15"/>
      <c r="F88" s="63">
        <v>2</v>
      </c>
      <c r="G88" s="55">
        <f t="shared" si="5"/>
        <v>0</v>
      </c>
      <c r="H88" s="55">
        <f>IF(C88="x",83,IF(D88="x",83*2,0))+IF(E88&gt;"",CODE(E88)+LEN(E88),0)</f>
        <v>0</v>
      </c>
    </row>
    <row r="89" spans="1:8" ht="89.25" customHeight="1" x14ac:dyDescent="0.2">
      <c r="A89" s="9" t="s">
        <v>126</v>
      </c>
      <c r="B89" s="10" t="s">
        <v>127</v>
      </c>
      <c r="C89" s="18"/>
      <c r="D89" s="18"/>
      <c r="E89" s="15"/>
      <c r="F89" s="63">
        <v>1</v>
      </c>
      <c r="G89" s="55">
        <f t="shared" si="5"/>
        <v>0</v>
      </c>
      <c r="H89" s="55">
        <f>IF(C89="x",84,IF(D89="x",84*2,0))+IF(E89&gt;"",CODE(E89)+LEN(E89),0)</f>
        <v>0</v>
      </c>
    </row>
    <row r="90" spans="1:8" ht="55.5" customHeight="1" x14ac:dyDescent="0.2">
      <c r="A90" s="9" t="s">
        <v>128</v>
      </c>
      <c r="B90" s="10" t="s">
        <v>381</v>
      </c>
      <c r="C90" s="18"/>
      <c r="D90" s="18"/>
      <c r="E90" s="15"/>
      <c r="F90" s="63">
        <v>2</v>
      </c>
      <c r="G90" s="55">
        <f t="shared" si="5"/>
        <v>0</v>
      </c>
      <c r="H90" s="55">
        <f>IF(C90="x",85,IF(D90="x",85*2,0))+IF(E90&gt;"",CODE(E90)+LEN(E90),0)</f>
        <v>0</v>
      </c>
    </row>
    <row r="91" spans="1:8" ht="43.5" customHeight="1" x14ac:dyDescent="0.2">
      <c r="A91" s="9" t="s">
        <v>129</v>
      </c>
      <c r="B91" s="10" t="s">
        <v>132</v>
      </c>
      <c r="C91" s="18"/>
      <c r="D91" s="18"/>
      <c r="E91" s="15"/>
      <c r="F91" s="63">
        <v>1</v>
      </c>
      <c r="G91" s="55">
        <f t="shared" si="5"/>
        <v>0</v>
      </c>
      <c r="H91" s="55">
        <f>IF(C91="x",87,IF(D91="x",87*2,0))+IF(E91&gt;"",CODE(E91)+LEN(E91),0)</f>
        <v>0</v>
      </c>
    </row>
    <row r="92" spans="1:8" ht="41.25" x14ac:dyDescent="0.2">
      <c r="A92" s="5">
        <v>9</v>
      </c>
      <c r="B92" s="6" t="s">
        <v>133</v>
      </c>
      <c r="C92" s="12" t="s">
        <v>67</v>
      </c>
      <c r="D92" s="12" t="s">
        <v>68</v>
      </c>
      <c r="E92" s="12" t="s">
        <v>8</v>
      </c>
      <c r="F92" s="13"/>
      <c r="G92" s="14"/>
      <c r="H92" s="8">
        <f>SUM(H86:H91)</f>
        <v>0</v>
      </c>
    </row>
    <row r="93" spans="1:8" ht="47.25" customHeight="1" x14ac:dyDescent="0.2">
      <c r="A93" s="9" t="s">
        <v>134</v>
      </c>
      <c r="B93" s="10" t="s">
        <v>135</v>
      </c>
      <c r="C93" s="18"/>
      <c r="D93" s="18"/>
      <c r="E93" s="15"/>
      <c r="F93" s="63">
        <v>1</v>
      </c>
      <c r="G93" s="55">
        <f t="shared" si="5"/>
        <v>0</v>
      </c>
      <c r="H93" s="55">
        <f>IF(C93="x",91,IF(D93="x",91*2,0))+IF(E93&gt;"",CODE(E93)+LEN(E93),0)</f>
        <v>0</v>
      </c>
    </row>
    <row r="94" spans="1:8" ht="30.75" customHeight="1" x14ac:dyDescent="0.2">
      <c r="A94" s="9" t="s">
        <v>136</v>
      </c>
      <c r="B94" s="10" t="s">
        <v>137</v>
      </c>
      <c r="C94" s="18"/>
      <c r="D94" s="18"/>
      <c r="E94" s="15"/>
      <c r="F94" s="63">
        <v>1</v>
      </c>
      <c r="G94" s="55">
        <f t="shared" si="5"/>
        <v>0</v>
      </c>
      <c r="H94" s="55">
        <f>IF(C94="x",92,IF(D94="x",92*2,0))+IF(E94&gt;"",CODE(E94)+LEN(E94),0)</f>
        <v>0</v>
      </c>
    </row>
    <row r="95" spans="1:8" ht="91.5" customHeight="1" x14ac:dyDescent="0.2">
      <c r="A95" s="9" t="s">
        <v>138</v>
      </c>
      <c r="B95" s="10" t="s">
        <v>382</v>
      </c>
      <c r="C95" s="18"/>
      <c r="D95" s="18"/>
      <c r="E95" s="15"/>
      <c r="F95" s="63">
        <v>1</v>
      </c>
      <c r="G95" s="55">
        <f t="shared" si="5"/>
        <v>0</v>
      </c>
      <c r="H95" s="55">
        <f>IF(C95="x",93,IF(D95="x",93*2,0))+IF(E95&gt;"",CODE(E95)+LEN(E95),0)</f>
        <v>0</v>
      </c>
    </row>
    <row r="96" spans="1:8" ht="48" x14ac:dyDescent="0.2">
      <c r="A96" s="9" t="s">
        <v>139</v>
      </c>
      <c r="B96" s="10" t="s">
        <v>140</v>
      </c>
      <c r="C96" s="18"/>
      <c r="D96" s="18"/>
      <c r="E96" s="15"/>
      <c r="F96" s="63">
        <v>1</v>
      </c>
      <c r="G96" s="55">
        <f t="shared" si="5"/>
        <v>0</v>
      </c>
      <c r="H96" s="55">
        <f>IF(C96="x",94,IF(D96="x",94*2,0))+IF(E96&gt;"",CODE(E96)+LEN(E96),0)</f>
        <v>0</v>
      </c>
    </row>
    <row r="97" spans="1:8" ht="100.5" customHeight="1" x14ac:dyDescent="0.2">
      <c r="A97" s="9" t="s">
        <v>326</v>
      </c>
      <c r="B97" s="10" t="s">
        <v>141</v>
      </c>
      <c r="C97" s="18"/>
      <c r="D97" s="18"/>
      <c r="E97" s="15"/>
      <c r="F97" s="63">
        <v>1</v>
      </c>
      <c r="G97" s="55">
        <f t="shared" si="5"/>
        <v>0</v>
      </c>
      <c r="H97" s="55">
        <f>IF(C97="x",95,IF(D97="x",95*2,0))+IF(E97&gt;"",CODE(E97)+LEN(E97),0)</f>
        <v>0</v>
      </c>
    </row>
    <row r="98" spans="1:8" ht="72" x14ac:dyDescent="0.2">
      <c r="A98" s="9" t="s">
        <v>142</v>
      </c>
      <c r="B98" s="10" t="s">
        <v>143</v>
      </c>
      <c r="C98" s="15"/>
      <c r="D98" s="15"/>
      <c r="E98" s="15"/>
      <c r="F98" s="63">
        <v>1</v>
      </c>
      <c r="G98" s="55">
        <f t="shared" si="5"/>
        <v>0</v>
      </c>
      <c r="H98" s="55">
        <f>IF(C98="x",96,IF(D98="x",96*2,0))+IF(E98&gt;"",CODE(E98)+LEN(E98),0)</f>
        <v>0</v>
      </c>
    </row>
    <row r="99" spans="1:8" ht="48" x14ac:dyDescent="0.2">
      <c r="A99" s="9" t="s">
        <v>144</v>
      </c>
      <c r="B99" s="10" t="s">
        <v>145</v>
      </c>
      <c r="C99" s="15"/>
      <c r="D99" s="15"/>
      <c r="E99" s="15"/>
      <c r="F99" s="63">
        <v>1</v>
      </c>
      <c r="G99" s="55">
        <f t="shared" si="5"/>
        <v>0</v>
      </c>
      <c r="H99" s="55">
        <f>IF(C99="x",97,IF(D99="x",97*2,0))+IF(E99&gt;"",CODE(E99)+LEN(E99),0)</f>
        <v>0</v>
      </c>
    </row>
    <row r="100" spans="1:8" ht="36.75" x14ac:dyDescent="0.2">
      <c r="A100" s="9" t="s">
        <v>146</v>
      </c>
      <c r="B100" s="10" t="s">
        <v>383</v>
      </c>
      <c r="C100" s="15"/>
      <c r="D100" s="15"/>
      <c r="E100" s="15"/>
      <c r="F100" s="63">
        <v>2</v>
      </c>
      <c r="G100" s="55">
        <f t="shared" si="5"/>
        <v>0</v>
      </c>
      <c r="H100" s="55">
        <f>IF(C100="x",98,IF(D100="x",98*2,0))+IF(E100&gt;"",CODE(E100)+LEN(E100),0)</f>
        <v>0</v>
      </c>
    </row>
    <row r="101" spans="1:8" ht="15.75" x14ac:dyDescent="0.2">
      <c r="A101" s="5">
        <v>10</v>
      </c>
      <c r="B101" s="6" t="s">
        <v>147</v>
      </c>
      <c r="C101" s="12" t="s">
        <v>67</v>
      </c>
      <c r="D101" s="12" t="s">
        <v>68</v>
      </c>
      <c r="E101" s="12" t="s">
        <v>8</v>
      </c>
      <c r="F101" s="13"/>
      <c r="G101" s="14"/>
      <c r="H101" s="8">
        <f>SUM(H93:H100)</f>
        <v>0</v>
      </c>
    </row>
    <row r="102" spans="1:8" ht="72" x14ac:dyDescent="0.2">
      <c r="A102" s="11" t="s">
        <v>148</v>
      </c>
      <c r="B102" s="10" t="s">
        <v>384</v>
      </c>
      <c r="C102" s="15"/>
      <c r="D102" s="15"/>
      <c r="E102" s="15"/>
      <c r="F102" s="63">
        <v>2</v>
      </c>
      <c r="G102" s="55">
        <f t="shared" si="5"/>
        <v>0</v>
      </c>
      <c r="H102" s="55">
        <f>IF(C102="x",101,IF(D102="x",101*2,0))+IF(E102&gt;"",CODE(E102)+LEN(E102),0)</f>
        <v>0</v>
      </c>
    </row>
    <row r="103" spans="1:8" ht="75" customHeight="1" x14ac:dyDescent="0.2">
      <c r="A103" s="9" t="s">
        <v>149</v>
      </c>
      <c r="B103" s="10" t="s">
        <v>150</v>
      </c>
      <c r="C103" s="87"/>
      <c r="D103" s="87"/>
      <c r="E103" s="87"/>
      <c r="F103" s="66"/>
      <c r="G103" s="66"/>
      <c r="H103" s="55">
        <f t="shared" ref="H103" si="8">IF(C103&gt;"",CODE(C103)+LEN(C103),0)</f>
        <v>0</v>
      </c>
    </row>
    <row r="104" spans="1:8" ht="48" x14ac:dyDescent="0.2">
      <c r="A104" s="9" t="s">
        <v>151</v>
      </c>
      <c r="B104" s="10" t="s">
        <v>152</v>
      </c>
      <c r="C104" s="15"/>
      <c r="D104" s="15"/>
      <c r="E104" s="15"/>
      <c r="F104" s="63">
        <v>1</v>
      </c>
      <c r="G104" s="55">
        <f t="shared" si="5"/>
        <v>0</v>
      </c>
      <c r="H104" s="55">
        <f>IF(C104="x",103,IF(D104="x",103*2,0))+IF(E104&gt;"",CODE(E104)+LEN(E104),0)</f>
        <v>0</v>
      </c>
    </row>
    <row r="105" spans="1:8" ht="15.75" x14ac:dyDescent="0.2">
      <c r="A105" s="5">
        <v>11</v>
      </c>
      <c r="B105" s="6" t="s">
        <v>153</v>
      </c>
      <c r="C105" s="90" t="s">
        <v>8</v>
      </c>
      <c r="D105" s="90"/>
      <c r="E105" s="90"/>
      <c r="F105" s="13"/>
      <c r="G105" s="14"/>
      <c r="H105" s="8">
        <f>SUM(H102:H104)</f>
        <v>0</v>
      </c>
    </row>
    <row r="106" spans="1:8" ht="36.75" x14ac:dyDescent="0.2">
      <c r="A106" s="9" t="s">
        <v>154</v>
      </c>
      <c r="B106" s="10" t="s">
        <v>155</v>
      </c>
      <c r="C106" s="87"/>
      <c r="D106" s="87"/>
      <c r="E106" s="87"/>
      <c r="F106" s="66"/>
      <c r="G106" s="66"/>
      <c r="H106" s="55">
        <f t="shared" ref="H106:H108" si="9">IF(C106&gt;"",CODE(C106)+LEN(C106),0)</f>
        <v>0</v>
      </c>
    </row>
    <row r="107" spans="1:8" ht="25.5" x14ac:dyDescent="0.2">
      <c r="A107" s="9" t="s">
        <v>156</v>
      </c>
      <c r="B107" s="10" t="s">
        <v>157</v>
      </c>
      <c r="C107" s="87"/>
      <c r="D107" s="87"/>
      <c r="E107" s="87"/>
      <c r="F107" s="66"/>
      <c r="G107" s="66"/>
      <c r="H107" s="55">
        <f t="shared" si="9"/>
        <v>0</v>
      </c>
    </row>
    <row r="108" spans="1:8" ht="48" x14ac:dyDescent="0.2">
      <c r="A108" s="9" t="s">
        <v>158</v>
      </c>
      <c r="B108" s="10" t="s">
        <v>159</v>
      </c>
      <c r="C108" s="87"/>
      <c r="D108" s="87"/>
      <c r="E108" s="87"/>
      <c r="F108" s="66"/>
      <c r="G108" s="66"/>
      <c r="H108" s="55">
        <f t="shared" si="9"/>
        <v>0</v>
      </c>
    </row>
    <row r="109" spans="1:8" ht="44.25" x14ac:dyDescent="0.2">
      <c r="A109" s="5">
        <v>12</v>
      </c>
      <c r="B109" s="17" t="s">
        <v>160</v>
      </c>
      <c r="C109" s="12" t="s">
        <v>67</v>
      </c>
      <c r="D109" s="12" t="s">
        <v>68</v>
      </c>
      <c r="E109" s="12" t="s">
        <v>8</v>
      </c>
      <c r="F109" s="13"/>
      <c r="G109" s="14"/>
      <c r="H109" s="8">
        <f>SUM(H106:H108)</f>
        <v>0</v>
      </c>
    </row>
    <row r="110" spans="1:8" ht="48" x14ac:dyDescent="0.2">
      <c r="A110" s="9" t="s">
        <v>161</v>
      </c>
      <c r="B110" s="10" t="s">
        <v>162</v>
      </c>
      <c r="C110" s="15"/>
      <c r="D110" s="15"/>
      <c r="E110" s="15"/>
      <c r="F110" s="63">
        <v>1</v>
      </c>
      <c r="G110" s="55">
        <f t="shared" si="5"/>
        <v>0</v>
      </c>
      <c r="H110" s="55">
        <f>IF(C110="x",121,IF(D110="x",121*2,0))+IF(E110&gt;"",CODE(E110)+LEN(E110),0)</f>
        <v>0</v>
      </c>
    </row>
    <row r="111" spans="1:8" ht="60.75" x14ac:dyDescent="0.2">
      <c r="A111" s="9" t="s">
        <v>163</v>
      </c>
      <c r="B111" s="10" t="s">
        <v>164</v>
      </c>
      <c r="C111" s="15"/>
      <c r="D111" s="15"/>
      <c r="E111" s="15"/>
      <c r="F111" s="63">
        <v>1</v>
      </c>
      <c r="G111" s="55">
        <f t="shared" si="5"/>
        <v>0</v>
      </c>
      <c r="H111" s="55">
        <f>IF(C111="x",122,IF(D111="x",122*2,0))+IF(E111&gt;"",CODE(E111)+LEN(E111),0)</f>
        <v>0</v>
      </c>
    </row>
    <row r="112" spans="1:8" ht="48" x14ac:dyDescent="0.2">
      <c r="A112" s="9" t="s">
        <v>165</v>
      </c>
      <c r="B112" s="10" t="s">
        <v>166</v>
      </c>
      <c r="C112" s="15"/>
      <c r="D112" s="15"/>
      <c r="E112" s="15"/>
      <c r="F112" s="63">
        <v>1</v>
      </c>
      <c r="G112" s="55">
        <f t="shared" si="5"/>
        <v>0</v>
      </c>
      <c r="H112" s="55">
        <f>IF(C112="x",123,IF(D112="x",123*2,0))+IF(E112&gt;"",CODE(E112)+LEN(E112),0)</f>
        <v>0</v>
      </c>
    </row>
    <row r="113" spans="1:8" ht="60.75" x14ac:dyDescent="0.2">
      <c r="A113" s="9" t="s">
        <v>167</v>
      </c>
      <c r="B113" s="10" t="s">
        <v>168</v>
      </c>
      <c r="C113" s="15"/>
      <c r="D113" s="15"/>
      <c r="E113" s="15"/>
      <c r="F113" s="63">
        <v>1</v>
      </c>
      <c r="G113" s="55">
        <f t="shared" si="5"/>
        <v>0</v>
      </c>
      <c r="H113" s="55">
        <f>IF(C113="x",124,IF(D113="x",124*2,0))+IF(E113&gt;"",CODE(E113)+LEN(E113),0)</f>
        <v>0</v>
      </c>
    </row>
    <row r="114" spans="1:8" ht="15.75" x14ac:dyDescent="0.2">
      <c r="A114" s="5">
        <v>13</v>
      </c>
      <c r="B114" s="6" t="s">
        <v>330</v>
      </c>
      <c r="C114" s="12" t="s">
        <v>67</v>
      </c>
      <c r="D114" s="12" t="s">
        <v>68</v>
      </c>
      <c r="E114" s="12" t="s">
        <v>8</v>
      </c>
      <c r="F114" s="19"/>
      <c r="G114" s="20"/>
      <c r="H114" s="8">
        <f>SUM(H110:H113)</f>
        <v>0</v>
      </c>
    </row>
    <row r="115" spans="1:8" ht="108.75" x14ac:dyDescent="0.2">
      <c r="A115" s="9" t="s">
        <v>169</v>
      </c>
      <c r="B115" s="10" t="s">
        <v>331</v>
      </c>
      <c r="C115" s="15"/>
      <c r="D115" s="15"/>
      <c r="E115" s="15"/>
      <c r="F115" s="63">
        <v>2</v>
      </c>
      <c r="G115" s="55">
        <f t="shared" si="5"/>
        <v>0</v>
      </c>
      <c r="H115" s="55">
        <f>IF(C115="x",131,IF(D115="x",131*2,0))+IF(E115&gt;"",CODE(E115)+LEN(E115),0)</f>
        <v>0</v>
      </c>
    </row>
    <row r="116" spans="1:8" ht="24" x14ac:dyDescent="0.2">
      <c r="A116" s="9" t="s">
        <v>170</v>
      </c>
      <c r="B116" s="10" t="s">
        <v>332</v>
      </c>
      <c r="C116" s="15"/>
      <c r="D116" s="15"/>
      <c r="E116" s="15"/>
      <c r="F116" s="63">
        <v>1</v>
      </c>
      <c r="G116" s="55">
        <f t="shared" si="5"/>
        <v>0</v>
      </c>
      <c r="H116" s="55">
        <f>IF(C116="x",132,IF(D116="x",132*2,0))+IF(E116&gt;"",CODE(E116)+LEN(E116),0)</f>
        <v>0</v>
      </c>
    </row>
    <row r="117" spans="1:8" ht="24" x14ac:dyDescent="0.2">
      <c r="A117" s="9" t="s">
        <v>171</v>
      </c>
      <c r="B117" s="10" t="s">
        <v>333</v>
      </c>
      <c r="C117" s="15"/>
      <c r="D117" s="15"/>
      <c r="E117" s="15"/>
      <c r="F117" s="63">
        <v>2</v>
      </c>
      <c r="G117" s="55">
        <f t="shared" si="5"/>
        <v>0</v>
      </c>
      <c r="H117" s="55">
        <f>IF(C117="x",133,IF(D117="x",133*2,0))+IF(E117&gt;"",CODE(E117)+LEN(E117),0)</f>
        <v>0</v>
      </c>
    </row>
    <row r="118" spans="1:8" ht="72" x14ac:dyDescent="0.2">
      <c r="A118" s="9" t="s">
        <v>172</v>
      </c>
      <c r="B118" s="10" t="s">
        <v>334</v>
      </c>
      <c r="C118" s="15"/>
      <c r="D118" s="15"/>
      <c r="E118" s="15"/>
      <c r="F118" s="63">
        <v>1</v>
      </c>
      <c r="G118" s="55">
        <f t="shared" si="5"/>
        <v>0</v>
      </c>
      <c r="H118" s="55">
        <f>IF(C118="x",134,IF(D118="x",134*2,0))+IF(E118&gt;"",CODE(E118)+LEN(E118),0)</f>
        <v>0</v>
      </c>
    </row>
    <row r="119" spans="1:8" ht="72" x14ac:dyDescent="0.2">
      <c r="A119" s="9" t="s">
        <v>173</v>
      </c>
      <c r="B119" s="10" t="s">
        <v>335</v>
      </c>
      <c r="C119" s="15"/>
      <c r="D119" s="15"/>
      <c r="E119" s="15"/>
      <c r="F119" s="63">
        <v>1</v>
      </c>
      <c r="G119" s="55">
        <f t="shared" si="5"/>
        <v>0</v>
      </c>
      <c r="H119" s="55">
        <f>IF(C119="x",135,IF(D119="x",135*2,0))+IF(E119&gt;"",CODE(E119)+LEN(E119),0)</f>
        <v>0</v>
      </c>
    </row>
    <row r="120" spans="1:8" ht="97.5" x14ac:dyDescent="0.2">
      <c r="A120" s="9" t="s">
        <v>174</v>
      </c>
      <c r="B120" s="10" t="s">
        <v>336</v>
      </c>
      <c r="C120" s="15"/>
      <c r="D120" s="15"/>
      <c r="E120" s="15"/>
      <c r="F120" s="63">
        <v>1</v>
      </c>
      <c r="G120" s="55">
        <f t="shared" si="5"/>
        <v>0</v>
      </c>
      <c r="H120" s="55">
        <f>IF(C120="x",136,IF(D120="x",136*2,0))+IF(E120&gt;"",CODE(E120)+LEN(E120),0)</f>
        <v>0</v>
      </c>
    </row>
    <row r="121" spans="1:8" ht="60.75" x14ac:dyDescent="0.2">
      <c r="A121" s="9" t="s">
        <v>175</v>
      </c>
      <c r="B121" s="10" t="s">
        <v>337</v>
      </c>
      <c r="C121" s="15"/>
      <c r="D121" s="15"/>
      <c r="E121" s="15"/>
      <c r="F121" s="63">
        <v>2</v>
      </c>
      <c r="G121" s="55">
        <f t="shared" ref="G121" si="10">IF(C121="X",F121,0)</f>
        <v>0</v>
      </c>
      <c r="H121" s="55">
        <f>IF(C121="x",137,IF(D121="x",137*2,0))+IF(E121&gt;"",CODE(E121)+LEN(E121),0)</f>
        <v>0</v>
      </c>
    </row>
    <row r="122" spans="1:8" ht="30.75" x14ac:dyDescent="0.2">
      <c r="A122" s="5">
        <v>14</v>
      </c>
      <c r="B122" s="17" t="s">
        <v>353</v>
      </c>
      <c r="C122" s="6" t="s">
        <v>67</v>
      </c>
      <c r="D122" s="6" t="s">
        <v>68</v>
      </c>
      <c r="E122" s="6" t="s">
        <v>8</v>
      </c>
      <c r="F122" s="28"/>
      <c r="G122" s="28"/>
      <c r="H122" s="20">
        <f>SUM(H115:H121)</f>
        <v>0</v>
      </c>
    </row>
    <row r="123" spans="1:8" ht="60.75" x14ac:dyDescent="0.2">
      <c r="A123" s="9" t="s">
        <v>177</v>
      </c>
      <c r="B123" s="16" t="s">
        <v>349</v>
      </c>
      <c r="C123" s="15"/>
      <c r="D123" s="15"/>
      <c r="E123" s="15"/>
      <c r="F123" s="63">
        <v>0.5</v>
      </c>
      <c r="G123" s="55"/>
      <c r="H123" s="55">
        <f t="shared" ref="H123:H125" si="11">IF(C123="x",137,IF(D123="x",137*2,0))+IF(E123&gt;"",CODE(E123)+LEN(E123),0)</f>
        <v>0</v>
      </c>
    </row>
    <row r="124" spans="1:8" ht="60.75" x14ac:dyDescent="0.2">
      <c r="A124" s="9" t="s">
        <v>179</v>
      </c>
      <c r="B124" s="16" t="s">
        <v>350</v>
      </c>
      <c r="C124" s="15"/>
      <c r="D124" s="15"/>
      <c r="E124" s="15"/>
      <c r="F124" s="63">
        <v>0.5</v>
      </c>
      <c r="G124" s="55"/>
      <c r="H124" s="55">
        <f t="shared" si="11"/>
        <v>0</v>
      </c>
    </row>
    <row r="125" spans="1:8" ht="60.75" x14ac:dyDescent="0.2">
      <c r="A125" s="9" t="s">
        <v>343</v>
      </c>
      <c r="B125" s="16" t="s">
        <v>351</v>
      </c>
      <c r="C125" s="15"/>
      <c r="D125" s="15"/>
      <c r="E125" s="15"/>
      <c r="F125" s="63">
        <v>0.5</v>
      </c>
      <c r="G125" s="55"/>
      <c r="H125" s="55">
        <f t="shared" si="11"/>
        <v>0</v>
      </c>
    </row>
    <row r="126" spans="1:8" ht="28.5" x14ac:dyDescent="0.2">
      <c r="A126" s="5">
        <v>15</v>
      </c>
      <c r="B126" s="6" t="s">
        <v>176</v>
      </c>
      <c r="C126" s="12" t="s">
        <v>67</v>
      </c>
      <c r="D126" s="12" t="s">
        <v>68</v>
      </c>
      <c r="E126" s="12" t="s">
        <v>8</v>
      </c>
      <c r="F126" s="19">
        <f>SUM(F49:F121)-78</f>
        <v>142</v>
      </c>
      <c r="G126" s="20">
        <f>SUM(G49:G121)</f>
        <v>0</v>
      </c>
      <c r="H126" s="8">
        <f>SUM(H123:H125)</f>
        <v>0</v>
      </c>
    </row>
    <row r="127" spans="1:8" ht="60.75" x14ac:dyDescent="0.2">
      <c r="A127" s="9" t="s">
        <v>187</v>
      </c>
      <c r="B127" s="10" t="s">
        <v>178</v>
      </c>
      <c r="C127" s="15"/>
      <c r="D127" s="15"/>
      <c r="E127" s="15"/>
      <c r="F127" s="49" t="s">
        <v>65</v>
      </c>
      <c r="G127" s="50" t="s">
        <v>66</v>
      </c>
      <c r="H127" s="48">
        <f>IF(C127="x",131,IF(D127="x",131*2,0))+IF(E127&gt;"",CODE(E127)+LEN(E127),0)</f>
        <v>0</v>
      </c>
    </row>
    <row r="128" spans="1:8" ht="48" x14ac:dyDescent="0.2">
      <c r="A128" s="9" t="s">
        <v>188</v>
      </c>
      <c r="B128" s="10" t="s">
        <v>180</v>
      </c>
      <c r="C128" s="15"/>
      <c r="D128" s="15"/>
      <c r="E128" s="15"/>
      <c r="F128" s="51" t="s">
        <v>181</v>
      </c>
      <c r="G128" s="52">
        <f>IF(G55=78,G126,G126+'[1]Verpackungen Teil2 ohne_BRC_IoP'!G89)</f>
        <v>0</v>
      </c>
      <c r="H128" s="48">
        <f>IF(C128="x",132,IF(D128="x",132*2,0))+IF(E128&gt;"",CODE(E128)+LEN(E128),0)</f>
        <v>0</v>
      </c>
    </row>
    <row r="129" spans="1:8" ht="21" customHeight="1" x14ac:dyDescent="0.2">
      <c r="A129" s="101" t="str">
        <f>IF(AND(D54="X",D55="X"),"Bitte füllen Sie auch im 2. Tabellenreiter Punkt 15-37 aus! / Please fill in the 2nd sheet no. 15-37!","")</f>
        <v/>
      </c>
      <c r="B129" s="101"/>
      <c r="C129" s="101"/>
      <c r="D129" s="101"/>
      <c r="E129" s="101"/>
      <c r="H129" s="8">
        <f>SUM(H127:H128)</f>
        <v>0</v>
      </c>
    </row>
    <row r="130" spans="1:8" ht="154.5" customHeight="1" x14ac:dyDescent="0.2">
      <c r="A130" s="102" t="s">
        <v>182</v>
      </c>
      <c r="B130" s="103"/>
      <c r="C130" s="103"/>
      <c r="D130" s="103"/>
      <c r="E130" s="103"/>
    </row>
    <row r="131" spans="1:8" ht="29.25" customHeight="1" x14ac:dyDescent="0.2">
      <c r="A131" s="104"/>
      <c r="B131" s="104"/>
      <c r="C131" s="105"/>
      <c r="D131" s="105"/>
      <c r="E131" s="105"/>
    </row>
    <row r="132" spans="1:8" ht="33.75" customHeight="1" x14ac:dyDescent="0.2">
      <c r="A132" s="97" t="s">
        <v>183</v>
      </c>
      <c r="B132" s="97"/>
      <c r="C132" s="98" t="s">
        <v>184</v>
      </c>
      <c r="D132" s="98"/>
      <c r="E132" s="99"/>
    </row>
    <row r="135" spans="1:8" x14ac:dyDescent="0.2">
      <c r="A135" s="100" t="str">
        <f>CONCATENATE("Prüfsumme: ",H17," - ",H25," - ",H44," - ",H51," - ",H63," - ",H72," - ",H85," - ",H92," - ",H101," - ",H105," - ",H109," - ",H114," - ",H122," - ",H126," - ",H129)</f>
        <v>Prüfsumme: 0 - 0 - 0 - 0 - 0 - 0 - 0 - 0 - 0 - 0 - 0 - 0 - 0 - 0 - 0</v>
      </c>
      <c r="B135" s="100"/>
      <c r="C135" s="100"/>
      <c r="D135" s="100"/>
      <c r="E135" s="100"/>
      <c r="F135" s="21"/>
      <c r="G135" s="21"/>
      <c r="H135" s="21"/>
    </row>
  </sheetData>
  <sheetProtection algorithmName="SHA-512" hashValue="dQN7vObI4ACT8xI5uS0c06MnkFdDv75/2h9nkBexYBCS3tkGU/zptlLumTd20TRvNzVveT+QoouQYDQs+y7s4g==" saltValue="YgPwfQvzC2HTOWCskTyivg==" spinCount="100000" sheet="1" objects="1" scenarios="1" formatRows="0" selectLockedCells="1"/>
  <mergeCells count="51">
    <mergeCell ref="A135:E135"/>
    <mergeCell ref="C103:E103"/>
    <mergeCell ref="C105:E105"/>
    <mergeCell ref="C106:E106"/>
    <mergeCell ref="C107:E107"/>
    <mergeCell ref="C108:E108"/>
    <mergeCell ref="A129:E129"/>
    <mergeCell ref="A130:E130"/>
    <mergeCell ref="A131:B131"/>
    <mergeCell ref="C131:E131"/>
    <mergeCell ref="A132:B132"/>
    <mergeCell ref="C132:E132"/>
    <mergeCell ref="C47:E47"/>
    <mergeCell ref="C50:E50"/>
    <mergeCell ref="C67:E67"/>
    <mergeCell ref="C37:E37"/>
    <mergeCell ref="C41:E41"/>
    <mergeCell ref="C43:E43"/>
    <mergeCell ref="C45:E45"/>
    <mergeCell ref="C46:E46"/>
    <mergeCell ref="A52:E52"/>
    <mergeCell ref="C35:E35"/>
    <mergeCell ref="C20:E20"/>
    <mergeCell ref="C21:E21"/>
    <mergeCell ref="C22:E22"/>
    <mergeCell ref="C23:E23"/>
    <mergeCell ref="C24:E24"/>
    <mergeCell ref="C27:E27"/>
    <mergeCell ref="C29:E29"/>
    <mergeCell ref="C31:E31"/>
    <mergeCell ref="C32:E32"/>
    <mergeCell ref="C33:E33"/>
    <mergeCell ref="C34:E34"/>
    <mergeCell ref="C19:E19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7:E7"/>
    <mergeCell ref="A2:E2"/>
    <mergeCell ref="B3:E3"/>
    <mergeCell ref="C4:E4"/>
    <mergeCell ref="C5:E5"/>
    <mergeCell ref="C6:E6"/>
  </mergeCells>
  <dataValidations count="2">
    <dataValidation type="textLength" allowBlank="1" showInputMessage="1" showErrorMessage="1" errorTitle="Achtung / attention" error="nicht mehr als 250 Zeichen möglich / not more than 250 characters possible" sqref="E1:E4 E68:E80 C45:E47 C37:C43 D42:E42 C5:E24 E25 E44 E48:E49 E85:E1048576 C32:E35 D40:E40 C26:E27 E28 E36 E51 E53:E66" xr:uid="{00000000-0002-0000-0300-000000000000}">
      <formula1>0</formula1>
      <formula2>250</formula2>
    </dataValidation>
    <dataValidation type="list" allowBlank="1" showInputMessage="1" showErrorMessage="1" sqref="C123:D125 C104:D104 C102:D102 C93:D100 D64:D66 C48:D49 C127:D128 C53:D62 C86:D91 C110:D113 C115:D121 D68:D71 C64:C71 C73:D84" xr:uid="{00000000-0002-0000-0300-000001000000}">
      <formula1>$F$2:$F$2</formula1>
    </dataValidation>
  </dataValidations>
  <printOptions horizontalCentered="1"/>
  <pageMargins left="0.78740157480314965" right="0.78740157480314965" top="1.1811023622047201" bottom="0.59055118110236204" header="0.196850393700787" footer="0.31496062992126"/>
  <pageSetup paperSize="9" scale="89" fitToHeight="15" pageOrder="overThenDown" orientation="portrait" horizontalDpi="300" verticalDpi="300" r:id="rId1"/>
  <headerFooter scaleWithDoc="0">
    <oddHeader>&amp;L&amp;G_x000D__x000D_&amp;"Arial,Standard"&amp;10Formular | Lieferanten Selbstauditierungsbogen direkte Materialien [de] [en]&amp;R&amp;"Arial,Standard"&amp;10&amp;K000000QM Systems &amp; Food Safety (COE)_x000D_FO-ZTR-55514-3_x000D__x000D_&amp;1&amp;K00+000|21f&amp;1 &amp;K00+000|44f6</oddHeader>
    <oddFooter>&amp;L&amp;"Arial,Standard"&amp;8Ansprechperson: Beckers, Mario&amp;C&amp;"Arial,Standard"&amp;8Freigegeben am 13.06.2023&amp;1&amp;K00+000|21f&amp;R&amp;"Arial,Standard"&amp;8&amp;"Arial,Standard"&amp;8&amp;"Arial,Standard"&amp;9Seite &amp;P von &amp;N&amp;1 &amp;K00+000|44f6</oddFooter>
  </headerFooter>
  <rowBreaks count="6" manualBreakCount="6">
    <brk id="24" max="4" man="1"/>
    <brk id="35" max="4" man="1"/>
    <brk id="49" max="4" man="1"/>
    <brk id="65" max="4" man="1"/>
    <brk id="84" max="4" man="1"/>
    <brk id="108" max="4" man="1"/>
  </rowBreaks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"/>
  <dimension ref="A2:I91"/>
  <sheetViews>
    <sheetView showGridLines="0" zoomScaleNormal="100" zoomScalePageLayoutView="90" workbookViewId="0">
      <selection activeCell="E4" sqref="E4"/>
    </sheetView>
  </sheetViews>
  <sheetFormatPr baseColWidth="10" defaultRowHeight="12.75" x14ac:dyDescent="0.2"/>
  <cols>
    <col min="1" max="1" width="6.140625" style="32" customWidth="1"/>
    <col min="2" max="2" width="41.5703125" style="29" customWidth="1"/>
    <col min="3" max="3" width="7.7109375" style="33" customWidth="1"/>
    <col min="4" max="4" width="7.7109375" style="27" customWidth="1"/>
    <col min="5" max="5" width="31.85546875" style="27" customWidth="1"/>
    <col min="6" max="6" width="7.28515625" style="33" hidden="1" customWidth="1"/>
    <col min="7" max="7" width="7.28515625" style="27" hidden="1" customWidth="1"/>
    <col min="8" max="8" width="7.5703125" style="27" hidden="1" customWidth="1"/>
    <col min="9" max="9" width="11.42578125" style="27" hidden="1" customWidth="1"/>
    <col min="10" max="16384" width="11.42578125" style="27"/>
  </cols>
  <sheetData>
    <row r="2" spans="1:9" ht="37.5" customHeight="1" x14ac:dyDescent="0.2">
      <c r="A2" s="88" t="s">
        <v>185</v>
      </c>
      <c r="B2" s="88"/>
      <c r="C2" s="88"/>
      <c r="D2" s="88"/>
      <c r="E2" s="88"/>
      <c r="F2" s="25" t="s">
        <v>65</v>
      </c>
      <c r="G2" s="26" t="s">
        <v>66</v>
      </c>
      <c r="H2" s="4" t="s">
        <v>6</v>
      </c>
      <c r="I2" s="27" t="s">
        <v>3</v>
      </c>
    </row>
    <row r="3" spans="1:9" ht="25.5" x14ac:dyDescent="0.2">
      <c r="A3" s="3">
        <v>15</v>
      </c>
      <c r="B3" s="6" t="s">
        <v>186</v>
      </c>
      <c r="C3" s="6" t="s">
        <v>67</v>
      </c>
      <c r="D3" s="6" t="s">
        <v>68</v>
      </c>
      <c r="E3" s="6" t="s">
        <v>8</v>
      </c>
      <c r="F3" s="28"/>
      <c r="G3" s="28"/>
      <c r="H3" s="28"/>
    </row>
    <row r="4" spans="1:9" ht="36.75" x14ac:dyDescent="0.2">
      <c r="A4" s="9" t="s">
        <v>187</v>
      </c>
      <c r="B4" s="10" t="s">
        <v>397</v>
      </c>
      <c r="C4" s="18"/>
      <c r="D4" s="18"/>
      <c r="E4" s="15"/>
      <c r="F4" s="67">
        <v>2</v>
      </c>
      <c r="G4" s="67">
        <f>IF(C4="X",F4,0)</f>
        <v>0</v>
      </c>
      <c r="H4" s="55">
        <f>IF(C4="x",141,IF(D4="x",141*2,0))+IF(E4&gt;"",CODE(E4)+LEN(E4),0)</f>
        <v>0</v>
      </c>
    </row>
    <row r="5" spans="1:9" ht="48" x14ac:dyDescent="0.2">
      <c r="A5" s="9" t="s">
        <v>188</v>
      </c>
      <c r="B5" s="10" t="s">
        <v>189</v>
      </c>
      <c r="C5" s="18"/>
      <c r="D5" s="18"/>
      <c r="E5" s="15"/>
      <c r="F5" s="67">
        <v>1</v>
      </c>
      <c r="G5" s="67">
        <f t="shared" ref="G5:G67" si="0">IF(C5="X",F5,0)</f>
        <v>0</v>
      </c>
      <c r="H5" s="55">
        <f>IF(C5="x",142,IF(D5="x",142*2,0))+IF(E5&gt;"",CODE(E5)+LEN(E5),0)</f>
        <v>0</v>
      </c>
    </row>
    <row r="6" spans="1:9" ht="48" x14ac:dyDescent="0.2">
      <c r="A6" s="9" t="s">
        <v>190</v>
      </c>
      <c r="B6" s="10" t="s">
        <v>191</v>
      </c>
      <c r="C6" s="18"/>
      <c r="D6" s="18"/>
      <c r="E6" s="15"/>
      <c r="F6" s="67">
        <v>1</v>
      </c>
      <c r="G6" s="67">
        <f t="shared" si="0"/>
        <v>0</v>
      </c>
      <c r="H6" s="55">
        <f>IF(C6="x",143,IF(D6="x",143*2,0))+IF(E6&gt;"",CODE(E6)+LEN(E6),0)</f>
        <v>0</v>
      </c>
    </row>
    <row r="7" spans="1:9" ht="31.5" customHeight="1" x14ac:dyDescent="0.2">
      <c r="A7" s="3">
        <v>16</v>
      </c>
      <c r="B7" s="6" t="s">
        <v>192</v>
      </c>
      <c r="C7" s="6" t="s">
        <v>67</v>
      </c>
      <c r="D7" s="6" t="s">
        <v>68</v>
      </c>
      <c r="E7" s="6" t="s">
        <v>8</v>
      </c>
      <c r="F7" s="28"/>
      <c r="G7" s="28"/>
      <c r="H7" s="20">
        <f>SUM(H4:H6)</f>
        <v>0</v>
      </c>
    </row>
    <row r="8" spans="1:9" ht="48" x14ac:dyDescent="0.2">
      <c r="A8" s="9" t="s">
        <v>193</v>
      </c>
      <c r="B8" s="10" t="s">
        <v>396</v>
      </c>
      <c r="C8" s="18"/>
      <c r="D8" s="18"/>
      <c r="E8" s="15"/>
      <c r="F8" s="67">
        <v>2</v>
      </c>
      <c r="G8" s="67">
        <f t="shared" si="0"/>
        <v>0</v>
      </c>
      <c r="H8" s="55">
        <f>IF(C8="x",151,IF(D8="x",151*2,0))+IF(E8&gt;"",CODE(E8)+LEN(E8),0)</f>
        <v>0</v>
      </c>
    </row>
    <row r="9" spans="1:9" ht="66.75" customHeight="1" x14ac:dyDescent="0.2">
      <c r="A9" s="9" t="s">
        <v>194</v>
      </c>
      <c r="B9" s="10" t="s">
        <v>327</v>
      </c>
      <c r="C9" s="18"/>
      <c r="D9" s="18"/>
      <c r="E9" s="15"/>
      <c r="F9" s="67">
        <v>0</v>
      </c>
      <c r="G9" s="67">
        <f t="shared" si="0"/>
        <v>0</v>
      </c>
      <c r="H9" s="55">
        <f>IF(C9="x",152,IF(D9="x",152*2,0))+IF(E9&gt;"",CODE(E9)+LEN(E9),0)</f>
        <v>0</v>
      </c>
    </row>
    <row r="10" spans="1:9" ht="48" x14ac:dyDescent="0.2">
      <c r="A10" s="9" t="s">
        <v>196</v>
      </c>
      <c r="B10" s="10" t="s">
        <v>197</v>
      </c>
      <c r="C10" s="18"/>
      <c r="D10" s="18"/>
      <c r="E10" s="15"/>
      <c r="F10" s="67">
        <v>1</v>
      </c>
      <c r="G10" s="67">
        <f t="shared" si="0"/>
        <v>0</v>
      </c>
      <c r="H10" s="55">
        <f>IF(C10="x",153,IF(D10="x",153*2,0))+IF(E10&gt;"",CODE(E10)+LEN(E10),0)</f>
        <v>0</v>
      </c>
    </row>
    <row r="11" spans="1:9" ht="25.5" x14ac:dyDescent="0.2">
      <c r="A11" s="3">
        <v>17</v>
      </c>
      <c r="B11" s="6" t="s">
        <v>198</v>
      </c>
      <c r="C11" s="6" t="s">
        <v>67</v>
      </c>
      <c r="D11" s="6" t="s">
        <v>68</v>
      </c>
      <c r="E11" s="6" t="s">
        <v>8</v>
      </c>
      <c r="F11" s="28"/>
      <c r="G11" s="28"/>
      <c r="H11" s="20">
        <f>SUM(H8:H10)</f>
        <v>0</v>
      </c>
    </row>
    <row r="12" spans="1:9" ht="37.5" customHeight="1" x14ac:dyDescent="0.2">
      <c r="A12" s="9" t="s">
        <v>199</v>
      </c>
      <c r="B12" s="10" t="s">
        <v>395</v>
      </c>
      <c r="C12" s="18"/>
      <c r="D12" s="18"/>
      <c r="E12" s="15"/>
      <c r="F12" s="67">
        <v>1</v>
      </c>
      <c r="G12" s="67">
        <f t="shared" si="0"/>
        <v>0</v>
      </c>
      <c r="H12" s="55">
        <f>IF(C12="x",161,IF(D12="x",161*2,0))+IF(E12&gt;"",CODE(E12)+LEN(E12),0)</f>
        <v>0</v>
      </c>
    </row>
    <row r="13" spans="1:9" ht="36.75" x14ac:dyDescent="0.2">
      <c r="A13" s="9" t="s">
        <v>200</v>
      </c>
      <c r="B13" s="10" t="s">
        <v>201</v>
      </c>
      <c r="C13" s="18"/>
      <c r="D13" s="18"/>
      <c r="E13" s="15"/>
      <c r="F13" s="67">
        <v>1</v>
      </c>
      <c r="G13" s="67">
        <f t="shared" si="0"/>
        <v>0</v>
      </c>
      <c r="H13" s="55">
        <f>IF(C13="x",162,IF(D13="x",162*2,0))+IF(E13&gt;"",CODE(E13)+LEN(E13),0)</f>
        <v>0</v>
      </c>
    </row>
    <row r="14" spans="1:9" ht="48" x14ac:dyDescent="0.2">
      <c r="A14" s="9" t="s">
        <v>202</v>
      </c>
      <c r="B14" s="10" t="s">
        <v>203</v>
      </c>
      <c r="C14" s="18"/>
      <c r="D14" s="18"/>
      <c r="E14" s="15"/>
      <c r="F14" s="67">
        <v>0.5</v>
      </c>
      <c r="G14" s="67">
        <f t="shared" si="0"/>
        <v>0</v>
      </c>
      <c r="H14" s="55">
        <f>IF(C14="x",163,IF(D14="x",163*2,0))+IF(E14&gt;"",CODE(E14)+LEN(E14),0)</f>
        <v>0</v>
      </c>
    </row>
    <row r="15" spans="1:9" ht="25.5" x14ac:dyDescent="0.2">
      <c r="A15" s="3">
        <v>18</v>
      </c>
      <c r="B15" s="6" t="s">
        <v>204</v>
      </c>
      <c r="C15" s="6" t="s">
        <v>67</v>
      </c>
      <c r="D15" s="6" t="s">
        <v>68</v>
      </c>
      <c r="E15" s="6" t="s">
        <v>8</v>
      </c>
      <c r="F15" s="28"/>
      <c r="G15" s="28"/>
      <c r="H15" s="20">
        <f>SUM(H12:H14)</f>
        <v>0</v>
      </c>
    </row>
    <row r="16" spans="1:9" ht="24" x14ac:dyDescent="0.2">
      <c r="A16" s="9" t="s">
        <v>205</v>
      </c>
      <c r="B16" s="10" t="s">
        <v>206</v>
      </c>
      <c r="C16" s="18"/>
      <c r="D16" s="18"/>
      <c r="E16" s="15"/>
      <c r="F16" s="67">
        <v>0.5</v>
      </c>
      <c r="G16" s="67">
        <f t="shared" si="0"/>
        <v>0</v>
      </c>
      <c r="H16" s="55">
        <f>IF(C16="x",171,IF(D16="x",171*2,0))+IF(E16&gt;"",CODE(E16)+LEN(E16),0)</f>
        <v>0</v>
      </c>
    </row>
    <row r="17" spans="1:8" ht="48" x14ac:dyDescent="0.2">
      <c r="A17" s="9" t="s">
        <v>207</v>
      </c>
      <c r="B17" s="10" t="s">
        <v>394</v>
      </c>
      <c r="C17" s="18"/>
      <c r="D17" s="18"/>
      <c r="E17" s="15"/>
      <c r="F17" s="67">
        <v>2</v>
      </c>
      <c r="G17" s="67">
        <f t="shared" si="0"/>
        <v>0</v>
      </c>
      <c r="H17" s="55">
        <f>IF(C17="x",172,IF(D17="x",172*2,0))+IF(E17&gt;"",CODE(E17)+LEN(E17),0)</f>
        <v>0</v>
      </c>
    </row>
    <row r="18" spans="1:8" ht="25.5" x14ac:dyDescent="0.2">
      <c r="A18" s="3">
        <v>19</v>
      </c>
      <c r="B18" s="6" t="s">
        <v>208</v>
      </c>
      <c r="C18" s="6" t="s">
        <v>67</v>
      </c>
      <c r="D18" s="6" t="s">
        <v>68</v>
      </c>
      <c r="E18" s="6" t="s">
        <v>8</v>
      </c>
      <c r="F18" s="28"/>
      <c r="G18" s="28"/>
      <c r="H18" s="20">
        <f>SUM(H16:H17)</f>
        <v>0</v>
      </c>
    </row>
    <row r="19" spans="1:8" ht="24" x14ac:dyDescent="0.2">
      <c r="A19" s="9" t="s">
        <v>209</v>
      </c>
      <c r="B19" s="10" t="s">
        <v>210</v>
      </c>
      <c r="C19" s="18"/>
      <c r="D19" s="18"/>
      <c r="E19" s="15"/>
      <c r="F19" s="67">
        <v>0.5</v>
      </c>
      <c r="G19" s="67">
        <f t="shared" si="0"/>
        <v>0</v>
      </c>
      <c r="H19" s="55">
        <f>IF(C19="x",181,IF(D19="x",181*2,0))+IF(E19&gt;"",CODE(E19)+LEN(E19),0)</f>
        <v>0</v>
      </c>
    </row>
    <row r="20" spans="1:8" ht="24" x14ac:dyDescent="0.2">
      <c r="A20" s="9" t="s">
        <v>211</v>
      </c>
      <c r="B20" s="10" t="s">
        <v>393</v>
      </c>
      <c r="C20" s="18"/>
      <c r="D20" s="18"/>
      <c r="E20" s="15"/>
      <c r="F20" s="67">
        <v>2</v>
      </c>
      <c r="G20" s="67">
        <f t="shared" si="0"/>
        <v>0</v>
      </c>
      <c r="H20" s="55">
        <f>IF(C20="x",182,IF(D20="x",182*2,0))+IF(E20&gt;"",CODE(E20)+LEN(E20),0)</f>
        <v>0</v>
      </c>
    </row>
    <row r="21" spans="1:8" ht="36.75" x14ac:dyDescent="0.2">
      <c r="A21" s="9" t="s">
        <v>212</v>
      </c>
      <c r="B21" s="10" t="s">
        <v>213</v>
      </c>
      <c r="C21" s="18"/>
      <c r="D21" s="18"/>
      <c r="E21" s="15"/>
      <c r="F21" s="67">
        <v>0</v>
      </c>
      <c r="G21" s="67">
        <f t="shared" si="0"/>
        <v>0</v>
      </c>
      <c r="H21" s="55">
        <f>IF(C21="x",183,IF(D21="x",183*2,0))+IF(E21&gt;"",CODE(E21)+LEN(E21),0)</f>
        <v>0</v>
      </c>
    </row>
    <row r="22" spans="1:8" ht="25.5" x14ac:dyDescent="0.2">
      <c r="A22" s="3">
        <v>20</v>
      </c>
      <c r="B22" s="6" t="s">
        <v>214</v>
      </c>
      <c r="C22" s="6" t="s">
        <v>67</v>
      </c>
      <c r="D22" s="6" t="s">
        <v>68</v>
      </c>
      <c r="E22" s="6" t="s">
        <v>8</v>
      </c>
      <c r="F22" s="28"/>
      <c r="G22" s="28"/>
      <c r="H22" s="20">
        <f>SUM(H19:H21)</f>
        <v>0</v>
      </c>
    </row>
    <row r="23" spans="1:8" ht="48" x14ac:dyDescent="0.2">
      <c r="A23" s="9" t="s">
        <v>215</v>
      </c>
      <c r="B23" s="10" t="s">
        <v>392</v>
      </c>
      <c r="C23" s="18"/>
      <c r="D23" s="18"/>
      <c r="E23" s="15"/>
      <c r="F23" s="67">
        <v>1</v>
      </c>
      <c r="G23" s="67">
        <f t="shared" si="0"/>
        <v>0</v>
      </c>
      <c r="H23" s="55">
        <f>IF(C23="x",191,IF(D23="x",191*2,0))+IF(E23&gt;"",CODE(E23)+LEN(E23),0)</f>
        <v>0</v>
      </c>
    </row>
    <row r="24" spans="1:8" ht="36.75" x14ac:dyDescent="0.2">
      <c r="A24" s="9" t="s">
        <v>216</v>
      </c>
      <c r="B24" s="10" t="s">
        <v>217</v>
      </c>
      <c r="C24" s="18"/>
      <c r="D24" s="18"/>
      <c r="E24" s="15"/>
      <c r="F24" s="67">
        <v>0.5</v>
      </c>
      <c r="G24" s="67">
        <f t="shared" si="0"/>
        <v>0</v>
      </c>
      <c r="H24" s="55">
        <f>IF(C24="x",192,IF(D24="x",192*2,0))+IF(E24&gt;"",CODE(E24)+LEN(E24),0)</f>
        <v>0</v>
      </c>
    </row>
    <row r="25" spans="1:8" ht="48" x14ac:dyDescent="0.2">
      <c r="A25" s="9" t="s">
        <v>218</v>
      </c>
      <c r="B25" s="10" t="s">
        <v>219</v>
      </c>
      <c r="C25" s="18"/>
      <c r="D25" s="18"/>
      <c r="E25" s="15"/>
      <c r="F25" s="67">
        <v>0.5</v>
      </c>
      <c r="G25" s="67">
        <f t="shared" si="0"/>
        <v>0</v>
      </c>
      <c r="H25" s="55">
        <f>IF(C25="x",193,IF(D25="x",193*2,0))+IF(E25&gt;"",CODE(E25)+LEN(E25),0)</f>
        <v>0</v>
      </c>
    </row>
    <row r="26" spans="1:8" ht="25.5" x14ac:dyDescent="0.2">
      <c r="A26" s="3">
        <v>21</v>
      </c>
      <c r="B26" s="6" t="s">
        <v>220</v>
      </c>
      <c r="C26" s="6" t="s">
        <v>67</v>
      </c>
      <c r="D26" s="6" t="s">
        <v>68</v>
      </c>
      <c r="E26" s="6" t="s">
        <v>8</v>
      </c>
      <c r="F26" s="28"/>
      <c r="G26" s="28"/>
      <c r="H26" s="20">
        <f>SUM(H23:H25)</f>
        <v>0</v>
      </c>
    </row>
    <row r="27" spans="1:8" ht="48" x14ac:dyDescent="0.2">
      <c r="A27" s="9" t="s">
        <v>221</v>
      </c>
      <c r="B27" s="10" t="s">
        <v>222</v>
      </c>
      <c r="C27" s="18"/>
      <c r="D27" s="18"/>
      <c r="E27" s="15"/>
      <c r="F27" s="67">
        <v>1</v>
      </c>
      <c r="G27" s="67">
        <f t="shared" si="0"/>
        <v>0</v>
      </c>
      <c r="H27" s="55">
        <f>IF(C27="x",201,IF(D27="x",201*2,0))+IF(E27&gt;"",CODE(E27)+LEN(E27),0)</f>
        <v>0</v>
      </c>
    </row>
    <row r="28" spans="1:8" ht="25.5" x14ac:dyDescent="0.2">
      <c r="A28" s="3">
        <v>22</v>
      </c>
      <c r="B28" s="6" t="s">
        <v>223</v>
      </c>
      <c r="C28" s="6" t="s">
        <v>67</v>
      </c>
      <c r="D28" s="6" t="s">
        <v>68</v>
      </c>
      <c r="E28" s="6" t="s">
        <v>8</v>
      </c>
      <c r="F28" s="28"/>
      <c r="G28" s="28"/>
      <c r="H28" s="20">
        <f>SUM(H27)</f>
        <v>0</v>
      </c>
    </row>
    <row r="29" spans="1:8" ht="52.5" customHeight="1" x14ac:dyDescent="0.2">
      <c r="A29" s="9" t="s">
        <v>224</v>
      </c>
      <c r="B29" s="10" t="s">
        <v>225</v>
      </c>
      <c r="C29" s="18"/>
      <c r="D29" s="18"/>
      <c r="E29" s="15"/>
      <c r="F29" s="67">
        <v>1</v>
      </c>
      <c r="G29" s="67">
        <f t="shared" si="0"/>
        <v>0</v>
      </c>
      <c r="H29" s="55">
        <f>IF(C29="x",211,IF(D29="x",211*2,0))+IF(E29&gt;"",CODE(E29)+LEN(E29),0)</f>
        <v>0</v>
      </c>
    </row>
    <row r="30" spans="1:8" ht="48" x14ac:dyDescent="0.2">
      <c r="A30" s="9" t="s">
        <v>226</v>
      </c>
      <c r="B30" s="10" t="s">
        <v>227</v>
      </c>
      <c r="C30" s="18"/>
      <c r="D30" s="18"/>
      <c r="E30" s="15"/>
      <c r="F30" s="67">
        <v>1</v>
      </c>
      <c r="G30" s="67">
        <f t="shared" si="0"/>
        <v>0</v>
      </c>
      <c r="H30" s="55">
        <f>IF(C30="x",212,IF(D30="x",212*2,0))+IF(E30&gt;"",CODE(E30)+LEN(E30),0)</f>
        <v>0</v>
      </c>
    </row>
    <row r="31" spans="1:8" ht="39" customHeight="1" x14ac:dyDescent="0.2">
      <c r="A31" s="9" t="s">
        <v>228</v>
      </c>
      <c r="B31" s="10" t="s">
        <v>391</v>
      </c>
      <c r="C31" s="18"/>
      <c r="D31" s="18"/>
      <c r="E31" s="15"/>
      <c r="F31" s="67">
        <v>2</v>
      </c>
      <c r="G31" s="67">
        <f t="shared" si="0"/>
        <v>0</v>
      </c>
      <c r="H31" s="55">
        <f>IF(C31="x",213,IF(D31="x",213*2,0))+IF(E31&gt;"",CODE(E31)+LEN(E31),0)</f>
        <v>0</v>
      </c>
    </row>
    <row r="32" spans="1:8" ht="51.75" customHeight="1" x14ac:dyDescent="0.2">
      <c r="A32" s="9" t="s">
        <v>229</v>
      </c>
      <c r="B32" s="10" t="s">
        <v>230</v>
      </c>
      <c r="C32" s="18"/>
      <c r="D32" s="18"/>
      <c r="E32" s="15"/>
      <c r="F32" s="67">
        <v>1</v>
      </c>
      <c r="G32" s="67">
        <f t="shared" si="0"/>
        <v>0</v>
      </c>
      <c r="H32" s="55">
        <f>IF(C32="x",214,IF(D32="x",214*2,0))+IF(E32&gt;"",CODE(E32)+LEN(E32),0)</f>
        <v>0</v>
      </c>
    </row>
    <row r="33" spans="1:8" ht="26.25" customHeight="1" x14ac:dyDescent="0.2">
      <c r="A33" s="9" t="s">
        <v>231</v>
      </c>
      <c r="B33" s="10" t="s">
        <v>234</v>
      </c>
      <c r="C33" s="18"/>
      <c r="D33" s="18"/>
      <c r="E33" s="15"/>
      <c r="F33" s="67">
        <v>1</v>
      </c>
      <c r="G33" s="67">
        <f t="shared" si="0"/>
        <v>0</v>
      </c>
      <c r="H33" s="55">
        <f>IF(C33="x",216,IF(D33="x",216*2,0))+IF(E33&gt;"",CODE(E33)+LEN(E33),0)</f>
        <v>0</v>
      </c>
    </row>
    <row r="34" spans="1:8" ht="24" x14ac:dyDescent="0.2">
      <c r="A34" s="9" t="s">
        <v>233</v>
      </c>
      <c r="B34" s="10" t="s">
        <v>236</v>
      </c>
      <c r="C34" s="18"/>
      <c r="D34" s="18"/>
      <c r="E34" s="15"/>
      <c r="F34" s="67">
        <v>1</v>
      </c>
      <c r="G34" s="67">
        <f t="shared" si="0"/>
        <v>0</v>
      </c>
      <c r="H34" s="55">
        <f>IF(C34="x",217,IF(D34="x",217*2,0))+IF(E34&gt;"",CODE(E34)+LEN(E34),0)</f>
        <v>0</v>
      </c>
    </row>
    <row r="35" spans="1:8" ht="25.5" x14ac:dyDescent="0.2">
      <c r="A35" s="3">
        <v>23</v>
      </c>
      <c r="B35" s="6" t="s">
        <v>237</v>
      </c>
      <c r="C35" s="6" t="s">
        <v>67</v>
      </c>
      <c r="D35" s="6" t="s">
        <v>68</v>
      </c>
      <c r="E35" s="6" t="s">
        <v>8</v>
      </c>
      <c r="F35" s="28"/>
      <c r="G35" s="28"/>
      <c r="H35" s="20">
        <f>SUM(H29:H34)</f>
        <v>0</v>
      </c>
    </row>
    <row r="36" spans="1:8" ht="74.25" customHeight="1" x14ac:dyDescent="0.2">
      <c r="A36" s="9" t="s">
        <v>238</v>
      </c>
      <c r="B36" s="10" t="s">
        <v>390</v>
      </c>
      <c r="C36" s="18"/>
      <c r="D36" s="18"/>
      <c r="E36" s="15"/>
      <c r="F36" s="67">
        <v>2</v>
      </c>
      <c r="G36" s="67">
        <f t="shared" si="0"/>
        <v>0</v>
      </c>
      <c r="H36" s="55">
        <f>IF(C36="x",231,IF(D36="x",231*2,0))+IF(E36&gt;"",CODE(E36)+LEN(E36),0)</f>
        <v>0</v>
      </c>
    </row>
    <row r="37" spans="1:8" ht="25.5" x14ac:dyDescent="0.2">
      <c r="A37" s="3">
        <v>24</v>
      </c>
      <c r="B37" s="6" t="s">
        <v>239</v>
      </c>
      <c r="C37" s="6" t="s">
        <v>67</v>
      </c>
      <c r="D37" s="6" t="s">
        <v>68</v>
      </c>
      <c r="E37" s="6" t="s">
        <v>8</v>
      </c>
      <c r="F37" s="28"/>
      <c r="G37" s="28"/>
      <c r="H37" s="20">
        <f>SUM(H36)</f>
        <v>0</v>
      </c>
    </row>
    <row r="38" spans="1:8" ht="60.75" x14ac:dyDescent="0.2">
      <c r="A38" s="9" t="s">
        <v>240</v>
      </c>
      <c r="B38" s="10" t="s">
        <v>241</v>
      </c>
      <c r="C38" s="18"/>
      <c r="D38" s="18"/>
      <c r="E38" s="15"/>
      <c r="F38" s="67">
        <v>0.5</v>
      </c>
      <c r="G38" s="67">
        <f t="shared" si="0"/>
        <v>0</v>
      </c>
      <c r="H38" s="55">
        <f>IF(C38="x",241,IF(D38="x",241*2,0))+IF(E38&gt;"",CODE(E38)+LEN(E38),0)</f>
        <v>0</v>
      </c>
    </row>
    <row r="39" spans="1:8" ht="36.75" x14ac:dyDescent="0.2">
      <c r="A39" s="9" t="s">
        <v>242</v>
      </c>
      <c r="B39" s="10" t="s">
        <v>243</v>
      </c>
      <c r="C39" s="18"/>
      <c r="D39" s="18"/>
      <c r="E39" s="15"/>
      <c r="F39" s="67">
        <v>0.5</v>
      </c>
      <c r="G39" s="67">
        <f t="shared" si="0"/>
        <v>0</v>
      </c>
      <c r="H39" s="55">
        <f>IF(C39="x",242,IF(D39="x",242*2,0))+IF(E39&gt;"",CODE(E39)+LEN(E39),0)</f>
        <v>0</v>
      </c>
    </row>
    <row r="40" spans="1:8" ht="36.75" x14ac:dyDescent="0.2">
      <c r="A40" s="9" t="s">
        <v>244</v>
      </c>
      <c r="B40" s="10" t="s">
        <v>245</v>
      </c>
      <c r="C40" s="18"/>
      <c r="D40" s="18"/>
      <c r="E40" s="15"/>
      <c r="F40" s="67">
        <v>1</v>
      </c>
      <c r="G40" s="67">
        <f t="shared" si="0"/>
        <v>0</v>
      </c>
      <c r="H40" s="55">
        <f>IF(C40="x",243,IF(D40="x",243*2,0))+IF(E40&gt;"",CODE(E40)+LEN(E40),0)</f>
        <v>0</v>
      </c>
    </row>
    <row r="41" spans="1:8" ht="25.5" x14ac:dyDescent="0.2">
      <c r="A41" s="3">
        <v>25</v>
      </c>
      <c r="B41" s="6" t="s">
        <v>246</v>
      </c>
      <c r="C41" s="6" t="s">
        <v>67</v>
      </c>
      <c r="D41" s="6" t="s">
        <v>68</v>
      </c>
      <c r="E41" s="6" t="s">
        <v>8</v>
      </c>
      <c r="F41" s="28"/>
      <c r="G41" s="28"/>
      <c r="H41" s="20">
        <f>SUM(H38:H40)</f>
        <v>0</v>
      </c>
    </row>
    <row r="42" spans="1:8" ht="24" x14ac:dyDescent="0.2">
      <c r="A42" s="9" t="s">
        <v>247</v>
      </c>
      <c r="B42" s="10" t="s">
        <v>389</v>
      </c>
      <c r="C42" s="18"/>
      <c r="D42" s="18"/>
      <c r="E42" s="15"/>
      <c r="F42" s="67">
        <v>2</v>
      </c>
      <c r="G42" s="67">
        <f t="shared" si="0"/>
        <v>0</v>
      </c>
      <c r="H42" s="55">
        <f>IF(C42="x",251,IF(D42="x",251*2,0))+IF(E42&gt;"",CODE(E42)+LEN(E42),0)</f>
        <v>0</v>
      </c>
    </row>
    <row r="43" spans="1:8" ht="66" customHeight="1" x14ac:dyDescent="0.2">
      <c r="A43" s="9" t="s">
        <v>248</v>
      </c>
      <c r="B43" s="10" t="s">
        <v>249</v>
      </c>
      <c r="C43" s="18"/>
      <c r="D43" s="18"/>
      <c r="E43" s="15"/>
      <c r="F43" s="67">
        <v>0.5</v>
      </c>
      <c r="G43" s="67">
        <f t="shared" si="0"/>
        <v>0</v>
      </c>
      <c r="H43" s="55">
        <f>IF(C43="x",252,IF(D43="x",252*2,0))+IF(E43&gt;"",CODE(E43)+LEN(E43),0)</f>
        <v>0</v>
      </c>
    </row>
    <row r="44" spans="1:8" ht="60.75" x14ac:dyDescent="0.2">
      <c r="A44" s="9" t="s">
        <v>250</v>
      </c>
      <c r="B44" s="10" t="s">
        <v>251</v>
      </c>
      <c r="C44" s="18"/>
      <c r="D44" s="18"/>
      <c r="E44" s="15"/>
      <c r="F44" s="67">
        <v>0.5</v>
      </c>
      <c r="G44" s="67">
        <f t="shared" si="0"/>
        <v>0</v>
      </c>
      <c r="H44" s="55">
        <f>IF(C44="x",253,IF(D44="x",253*2,0))+IF(E44&gt;"",CODE(E44)+LEN(E44),0)</f>
        <v>0</v>
      </c>
    </row>
    <row r="45" spans="1:8" ht="39" customHeight="1" x14ac:dyDescent="0.2">
      <c r="A45" s="9" t="s">
        <v>252</v>
      </c>
      <c r="B45" s="10" t="s">
        <v>253</v>
      </c>
      <c r="C45" s="18"/>
      <c r="D45" s="18"/>
      <c r="E45" s="15"/>
      <c r="F45" s="67">
        <v>0.5</v>
      </c>
      <c r="G45" s="67">
        <f t="shared" si="0"/>
        <v>0</v>
      </c>
      <c r="H45" s="55">
        <f>IF(C45="x",254,IF(D45="x",254*2,0))+IF(E45&gt;"",CODE(E45)+LEN(E45),0)</f>
        <v>0</v>
      </c>
    </row>
    <row r="46" spans="1:8" ht="48" x14ac:dyDescent="0.2">
      <c r="A46" s="9" t="s">
        <v>254</v>
      </c>
      <c r="B46" s="10" t="s">
        <v>255</v>
      </c>
      <c r="C46" s="18"/>
      <c r="D46" s="18"/>
      <c r="E46" s="15"/>
      <c r="F46" s="67">
        <v>0.5</v>
      </c>
      <c r="G46" s="67">
        <f t="shared" si="0"/>
        <v>0</v>
      </c>
      <c r="H46" s="55">
        <f>IF(C46="x",255,IF(D46="x",255*2,0))+IF(E46&gt;"",CODE(E46)+LEN(E46),0)</f>
        <v>0</v>
      </c>
    </row>
    <row r="47" spans="1:8" ht="25.5" x14ac:dyDescent="0.2">
      <c r="A47" s="3">
        <v>26</v>
      </c>
      <c r="B47" s="6" t="s">
        <v>256</v>
      </c>
      <c r="C47" s="6" t="s">
        <v>67</v>
      </c>
      <c r="D47" s="6" t="s">
        <v>68</v>
      </c>
      <c r="E47" s="6" t="s">
        <v>8</v>
      </c>
      <c r="F47" s="28"/>
      <c r="G47" s="28"/>
      <c r="H47" s="20">
        <f>SUM(H42:H46)</f>
        <v>0</v>
      </c>
    </row>
    <row r="48" spans="1:8" ht="24" x14ac:dyDescent="0.2">
      <c r="A48" s="9" t="s">
        <v>257</v>
      </c>
      <c r="B48" s="10" t="s">
        <v>388</v>
      </c>
      <c r="C48" s="18"/>
      <c r="D48" s="18"/>
      <c r="E48" s="15"/>
      <c r="F48" s="67">
        <v>2</v>
      </c>
      <c r="G48" s="67">
        <f t="shared" si="0"/>
        <v>0</v>
      </c>
      <c r="H48" s="55">
        <f>IF(C48="x",261,IF(D48="x",261*2,0))+IF(E48&gt;"",CODE(E48)+LEN(E48),0)</f>
        <v>0</v>
      </c>
    </row>
    <row r="49" spans="1:8" ht="24" x14ac:dyDescent="0.2">
      <c r="A49" s="9" t="s">
        <v>258</v>
      </c>
      <c r="B49" s="10" t="s">
        <v>259</v>
      </c>
      <c r="C49" s="18"/>
      <c r="D49" s="18"/>
      <c r="E49" s="15"/>
      <c r="F49" s="67">
        <v>1</v>
      </c>
      <c r="G49" s="67">
        <f t="shared" si="0"/>
        <v>0</v>
      </c>
      <c r="H49" s="55">
        <f>IF(C49="x",262,IF(D49="x",262*2,0))+IF(E49&gt;"",CODE(E49)+LEN(E49),0)</f>
        <v>0</v>
      </c>
    </row>
    <row r="50" spans="1:8" ht="24" x14ac:dyDescent="0.2">
      <c r="A50" s="9" t="s">
        <v>260</v>
      </c>
      <c r="B50" s="10" t="s">
        <v>261</v>
      </c>
      <c r="C50" s="18"/>
      <c r="D50" s="18"/>
      <c r="E50" s="15"/>
      <c r="F50" s="67">
        <v>1</v>
      </c>
      <c r="G50" s="67">
        <f t="shared" si="0"/>
        <v>0</v>
      </c>
      <c r="H50" s="55">
        <f>IF(C50="x",263,IF(D50="x",263*2,0))+IF(E50&gt;"",CODE(E50)+LEN(E50),0)</f>
        <v>0</v>
      </c>
    </row>
    <row r="51" spans="1:8" ht="48" x14ac:dyDescent="0.2">
      <c r="A51" s="9" t="s">
        <v>262</v>
      </c>
      <c r="B51" s="10" t="s">
        <v>263</v>
      </c>
      <c r="C51" s="18"/>
      <c r="D51" s="18"/>
      <c r="E51" s="15"/>
      <c r="F51" s="67">
        <v>1</v>
      </c>
      <c r="G51" s="67">
        <f t="shared" si="0"/>
        <v>0</v>
      </c>
      <c r="H51" s="55">
        <f>IF(C51="x",264,IF(D51="x",264*2,0))+IF(E51&gt;"",CODE(E51)+LEN(E51),0)</f>
        <v>0</v>
      </c>
    </row>
    <row r="52" spans="1:8" ht="54.75" customHeight="1" x14ac:dyDescent="0.2">
      <c r="A52" s="9" t="s">
        <v>264</v>
      </c>
      <c r="B52" s="10" t="s">
        <v>265</v>
      </c>
      <c r="C52" s="18"/>
      <c r="D52" s="18"/>
      <c r="E52" s="15"/>
      <c r="F52" s="67">
        <v>1</v>
      </c>
      <c r="G52" s="67">
        <f t="shared" si="0"/>
        <v>0</v>
      </c>
      <c r="H52" s="55">
        <f>IF(C52="x",265,IF(D52="x",265*2,0))+IF(E52&gt;"",CODE(E52)+LEN(E52),0)</f>
        <v>0</v>
      </c>
    </row>
    <row r="53" spans="1:8" ht="25.5" x14ac:dyDescent="0.2">
      <c r="A53" s="3">
        <v>27</v>
      </c>
      <c r="B53" s="6" t="s">
        <v>266</v>
      </c>
      <c r="C53" s="6" t="s">
        <v>67</v>
      </c>
      <c r="D53" s="6" t="s">
        <v>68</v>
      </c>
      <c r="E53" s="6" t="s">
        <v>8</v>
      </c>
      <c r="F53" s="28"/>
      <c r="G53" s="28"/>
      <c r="H53" s="20">
        <f>SUM(H48:H52)</f>
        <v>0</v>
      </c>
    </row>
    <row r="54" spans="1:8" ht="84" customHeight="1" x14ac:dyDescent="0.2">
      <c r="A54" s="9" t="s">
        <v>267</v>
      </c>
      <c r="B54" s="10" t="s">
        <v>268</v>
      </c>
      <c r="C54" s="18"/>
      <c r="D54" s="18"/>
      <c r="E54" s="15"/>
      <c r="F54" s="67">
        <v>1</v>
      </c>
      <c r="G54" s="67">
        <f t="shared" si="0"/>
        <v>0</v>
      </c>
      <c r="H54" s="55">
        <f>IF(C54="x",271,IF(D54="x",271*2,0))+IF(E54&gt;"",CODE(E54)+LEN(E54),0)</f>
        <v>0</v>
      </c>
    </row>
    <row r="55" spans="1:8" ht="51.75" customHeight="1" x14ac:dyDescent="0.2">
      <c r="A55" s="9" t="s">
        <v>269</v>
      </c>
      <c r="B55" s="10" t="s">
        <v>270</v>
      </c>
      <c r="C55" s="18"/>
      <c r="D55" s="18"/>
      <c r="E55" s="15"/>
      <c r="F55" s="67">
        <v>0.5</v>
      </c>
      <c r="G55" s="67">
        <f t="shared" si="0"/>
        <v>0</v>
      </c>
      <c r="H55" s="55">
        <f>IF(C55="x",272,IF(D55="x",272*2,0))+IF(E55&gt;"",CODE(E55)+LEN(E55),0)</f>
        <v>0</v>
      </c>
    </row>
    <row r="56" spans="1:8" ht="25.5" x14ac:dyDescent="0.2">
      <c r="A56" s="3">
        <v>28</v>
      </c>
      <c r="B56" s="6" t="s">
        <v>271</v>
      </c>
      <c r="C56" s="6" t="s">
        <v>67</v>
      </c>
      <c r="D56" s="6" t="s">
        <v>68</v>
      </c>
      <c r="E56" s="6" t="s">
        <v>8</v>
      </c>
      <c r="F56" s="28"/>
      <c r="G56" s="28"/>
      <c r="H56" s="20">
        <f>SUM(H54:H55)</f>
        <v>0</v>
      </c>
    </row>
    <row r="57" spans="1:8" ht="39" customHeight="1" x14ac:dyDescent="0.2">
      <c r="A57" s="9" t="s">
        <v>272</v>
      </c>
      <c r="B57" s="10" t="s">
        <v>273</v>
      </c>
      <c r="C57" s="18"/>
      <c r="D57" s="18"/>
      <c r="E57" s="15"/>
      <c r="F57" s="67">
        <v>1</v>
      </c>
      <c r="G57" s="67">
        <f t="shared" si="0"/>
        <v>0</v>
      </c>
      <c r="H57" s="55">
        <f>IF(C57="x",281,IF(D57="x",281*2,0))+IF(E57&gt;"",CODE(E57)+LEN(E57),0)</f>
        <v>0</v>
      </c>
    </row>
    <row r="58" spans="1:8" ht="28.5" customHeight="1" x14ac:dyDescent="0.2">
      <c r="A58" s="9" t="s">
        <v>274</v>
      </c>
      <c r="B58" s="10" t="s">
        <v>275</v>
      </c>
      <c r="C58" s="18"/>
      <c r="D58" s="18"/>
      <c r="E58" s="15"/>
      <c r="F58" s="67">
        <v>1</v>
      </c>
      <c r="G58" s="67">
        <f t="shared" si="0"/>
        <v>0</v>
      </c>
      <c r="H58" s="55">
        <f>IF(C58="x",282,IF(D58="x",282*2,0))+IF(E58&gt;"",CODE(E58)+LEN(E58),0)</f>
        <v>0</v>
      </c>
    </row>
    <row r="59" spans="1:8" ht="50.25" customHeight="1" x14ac:dyDescent="0.2">
      <c r="A59" s="9" t="s">
        <v>276</v>
      </c>
      <c r="B59" s="10" t="s">
        <v>277</v>
      </c>
      <c r="C59" s="18"/>
      <c r="D59" s="18"/>
      <c r="E59" s="15"/>
      <c r="F59" s="67">
        <v>1</v>
      </c>
      <c r="G59" s="67">
        <f t="shared" si="0"/>
        <v>0</v>
      </c>
      <c r="H59" s="55">
        <f>IF(C59="x",283,IF(D59="x",283*2,0))+IF(E59&gt;"",CODE(E59)+LEN(E59),0)</f>
        <v>0</v>
      </c>
    </row>
    <row r="60" spans="1:8" ht="53.25" customHeight="1" x14ac:dyDescent="0.2">
      <c r="A60" s="9" t="s">
        <v>278</v>
      </c>
      <c r="B60" s="10" t="s">
        <v>342</v>
      </c>
      <c r="C60" s="18"/>
      <c r="D60" s="18"/>
      <c r="E60" s="15"/>
      <c r="F60" s="67">
        <v>1</v>
      </c>
      <c r="G60" s="67">
        <f t="shared" si="0"/>
        <v>0</v>
      </c>
      <c r="H60" s="55">
        <f>IF(C60="x",284,IF(D60="x",284*2,0))+IF(E60&gt;"",CODE(E60)+LEN(E60),0)</f>
        <v>0</v>
      </c>
    </row>
    <row r="61" spans="1:8" ht="75" customHeight="1" x14ac:dyDescent="0.2">
      <c r="A61" s="9" t="s">
        <v>279</v>
      </c>
      <c r="B61" s="10" t="s">
        <v>280</v>
      </c>
      <c r="C61" s="18"/>
      <c r="D61" s="18"/>
      <c r="E61" s="15"/>
      <c r="F61" s="67">
        <v>1</v>
      </c>
      <c r="G61" s="67">
        <f t="shared" si="0"/>
        <v>0</v>
      </c>
      <c r="H61" s="55">
        <f>IF(C61="x",285,IF(D61="x",285*2,0))+IF(E61&gt;"",CODE(E61)+LEN(E61),0)</f>
        <v>0</v>
      </c>
    </row>
    <row r="62" spans="1:8" ht="25.5" x14ac:dyDescent="0.2">
      <c r="A62" s="3">
        <v>29</v>
      </c>
      <c r="B62" s="6" t="s">
        <v>281</v>
      </c>
      <c r="C62" s="6" t="s">
        <v>67</v>
      </c>
      <c r="D62" s="6" t="s">
        <v>68</v>
      </c>
      <c r="E62" s="6" t="s">
        <v>8</v>
      </c>
      <c r="F62" s="28"/>
      <c r="G62" s="28"/>
      <c r="H62" s="20">
        <f>SUM(H57:H61)</f>
        <v>0</v>
      </c>
    </row>
    <row r="63" spans="1:8" ht="48" x14ac:dyDescent="0.2">
      <c r="A63" s="9" t="s">
        <v>282</v>
      </c>
      <c r="B63" s="10" t="s">
        <v>387</v>
      </c>
      <c r="C63" s="18"/>
      <c r="D63" s="18"/>
      <c r="E63" s="15"/>
      <c r="F63" s="67">
        <v>2</v>
      </c>
      <c r="G63" s="67">
        <f t="shared" si="0"/>
        <v>0</v>
      </c>
      <c r="H63" s="55">
        <f>IF(C63="x",291,IF(D63="x",291*2,0))+IF(E63&gt;"",CODE(E63)+LEN(E63),0)</f>
        <v>0</v>
      </c>
    </row>
    <row r="64" spans="1:8" ht="36.75" x14ac:dyDescent="0.2">
      <c r="A64" s="9" t="s">
        <v>283</v>
      </c>
      <c r="B64" s="10" t="s">
        <v>284</v>
      </c>
      <c r="C64" s="18"/>
      <c r="D64" s="18"/>
      <c r="E64" s="15"/>
      <c r="F64" s="67">
        <v>0.5</v>
      </c>
      <c r="G64" s="67">
        <f t="shared" si="0"/>
        <v>0</v>
      </c>
      <c r="H64" s="55">
        <f>IF(C64="x",292,IF(D64="x",292*2,0))+IF(E64&gt;"",CODE(E64)+LEN(E64),0)</f>
        <v>0</v>
      </c>
    </row>
    <row r="65" spans="1:8" ht="25.5" x14ac:dyDescent="0.2">
      <c r="A65" s="3">
        <v>30</v>
      </c>
      <c r="B65" s="6" t="s">
        <v>285</v>
      </c>
      <c r="C65" s="6" t="s">
        <v>67</v>
      </c>
      <c r="D65" s="6" t="s">
        <v>68</v>
      </c>
      <c r="E65" s="6" t="s">
        <v>8</v>
      </c>
      <c r="F65" s="28"/>
      <c r="G65" s="28"/>
      <c r="H65" s="20">
        <f>SUM(H63:H64)</f>
        <v>0</v>
      </c>
    </row>
    <row r="66" spans="1:8" ht="36.75" x14ac:dyDescent="0.2">
      <c r="A66" s="9" t="s">
        <v>286</v>
      </c>
      <c r="B66" s="10" t="s">
        <v>287</v>
      </c>
      <c r="C66" s="18"/>
      <c r="D66" s="18"/>
      <c r="E66" s="15"/>
      <c r="F66" s="67">
        <v>0.5</v>
      </c>
      <c r="G66" s="67">
        <f t="shared" si="0"/>
        <v>0</v>
      </c>
      <c r="H66" s="55">
        <f>IF(C66="x",301,IF(D66="x",301*2,0))+IF(E66&gt;"",CODE(E66)+LEN(E66),0)</f>
        <v>0</v>
      </c>
    </row>
    <row r="67" spans="1:8" ht="36.75" x14ac:dyDescent="0.2">
      <c r="A67" s="9" t="s">
        <v>288</v>
      </c>
      <c r="B67" s="10" t="s">
        <v>289</v>
      </c>
      <c r="C67" s="18"/>
      <c r="D67" s="18"/>
      <c r="E67" s="15"/>
      <c r="F67" s="67">
        <v>0.5</v>
      </c>
      <c r="G67" s="67">
        <f t="shared" si="0"/>
        <v>0</v>
      </c>
      <c r="H67" s="55">
        <f>IF(C67="x",302,IF(D67="x",302*2,0))+IF(E67&gt;"",CODE(E67)+LEN(E67),0)</f>
        <v>0</v>
      </c>
    </row>
    <row r="68" spans="1:8" ht="25.5" x14ac:dyDescent="0.2">
      <c r="A68" s="3">
        <v>31</v>
      </c>
      <c r="B68" s="6" t="s">
        <v>290</v>
      </c>
      <c r="C68" s="6" t="s">
        <v>67</v>
      </c>
      <c r="D68" s="6" t="s">
        <v>68</v>
      </c>
      <c r="E68" s="6" t="s">
        <v>8</v>
      </c>
      <c r="F68" s="28"/>
      <c r="G68" s="28"/>
      <c r="H68" s="20">
        <f>SUM(H66:H67)</f>
        <v>0</v>
      </c>
    </row>
    <row r="69" spans="1:8" ht="51.75" customHeight="1" x14ac:dyDescent="0.2">
      <c r="A69" s="9" t="s">
        <v>291</v>
      </c>
      <c r="B69" s="10" t="s">
        <v>292</v>
      </c>
      <c r="C69" s="18"/>
      <c r="D69" s="18"/>
      <c r="E69" s="15"/>
      <c r="F69" s="67">
        <v>0.5</v>
      </c>
      <c r="G69" s="67">
        <f t="shared" ref="G69" si="1">IF(C69="X",F69,0)</f>
        <v>0</v>
      </c>
      <c r="H69" s="55">
        <f>IF(C69="x",311,IF(D69="x",311*2,0))+IF(E69&gt;"",CODE(E69)+LEN(E69),0)</f>
        <v>0</v>
      </c>
    </row>
    <row r="70" spans="1:8" ht="25.5" x14ac:dyDescent="0.2">
      <c r="A70" s="3">
        <v>32</v>
      </c>
      <c r="B70" s="6" t="s">
        <v>293</v>
      </c>
      <c r="C70" s="6" t="s">
        <v>67</v>
      </c>
      <c r="D70" s="6" t="s">
        <v>68</v>
      </c>
      <c r="E70" s="6" t="s">
        <v>8</v>
      </c>
      <c r="F70" s="28"/>
      <c r="G70" s="28"/>
      <c r="H70" s="20">
        <f>SUM(H69)</f>
        <v>0</v>
      </c>
    </row>
    <row r="71" spans="1:8" ht="36.75" x14ac:dyDescent="0.2">
      <c r="A71" s="9" t="s">
        <v>294</v>
      </c>
      <c r="B71" s="10" t="s">
        <v>295</v>
      </c>
      <c r="C71" s="18"/>
      <c r="D71" s="18"/>
      <c r="E71" s="15"/>
      <c r="F71" s="67">
        <v>1</v>
      </c>
      <c r="G71" s="67">
        <f t="shared" ref="G71:G72" si="2">IF(C71="X",F71,0)</f>
        <v>0</v>
      </c>
      <c r="H71" s="55">
        <f>IF(C71="x",321,IF(D71="x",321*2,0))+IF(E71&gt;"",CODE(E71)+LEN(E71),0)</f>
        <v>0</v>
      </c>
    </row>
    <row r="72" spans="1:8" ht="24" x14ac:dyDescent="0.2">
      <c r="A72" s="9" t="s">
        <v>296</v>
      </c>
      <c r="B72" s="10" t="s">
        <v>297</v>
      </c>
      <c r="C72" s="18"/>
      <c r="D72" s="18"/>
      <c r="E72" s="15"/>
      <c r="F72" s="67">
        <v>0.5</v>
      </c>
      <c r="G72" s="67">
        <f t="shared" si="2"/>
        <v>0</v>
      </c>
      <c r="H72" s="55">
        <f>IF(C72="x",322,IF(D72="x",322*2,0))+IF(E72&gt;"",CODE(E72)+LEN(E72),0)</f>
        <v>0</v>
      </c>
    </row>
    <row r="73" spans="1:8" ht="25.5" x14ac:dyDescent="0.2">
      <c r="A73" s="3">
        <v>33</v>
      </c>
      <c r="B73" s="6" t="s">
        <v>298</v>
      </c>
      <c r="C73" s="6" t="s">
        <v>67</v>
      </c>
      <c r="D73" s="6" t="s">
        <v>68</v>
      </c>
      <c r="E73" s="6" t="s">
        <v>8</v>
      </c>
      <c r="F73" s="28"/>
      <c r="G73" s="28"/>
      <c r="H73" s="20">
        <f>SUM(H71:H72)</f>
        <v>0</v>
      </c>
    </row>
    <row r="74" spans="1:8" ht="39.75" customHeight="1" x14ac:dyDescent="0.2">
      <c r="A74" s="9" t="s">
        <v>299</v>
      </c>
      <c r="B74" s="10" t="s">
        <v>300</v>
      </c>
      <c r="C74" s="18"/>
      <c r="D74" s="18"/>
      <c r="E74" s="15"/>
      <c r="F74" s="67">
        <v>1</v>
      </c>
      <c r="G74" s="67">
        <f t="shared" ref="G74:G77" si="3">IF(C74="X",F74,0)</f>
        <v>0</v>
      </c>
      <c r="H74" s="55">
        <f>IF(C74="x",331,IF(D74="x",331*2,0))+IF(E74&gt;"",CODE(E74)+LEN(E74),0)</f>
        <v>0</v>
      </c>
    </row>
    <row r="75" spans="1:8" ht="48" x14ac:dyDescent="0.2">
      <c r="A75" s="9" t="s">
        <v>301</v>
      </c>
      <c r="B75" s="10" t="s">
        <v>386</v>
      </c>
      <c r="C75" s="18"/>
      <c r="D75" s="18"/>
      <c r="E75" s="15"/>
      <c r="F75" s="67">
        <v>2</v>
      </c>
      <c r="G75" s="67">
        <f t="shared" si="3"/>
        <v>0</v>
      </c>
      <c r="H75" s="55">
        <f>IF(C75="x",332,IF(D75="x",332*2,0))+IF(E75&gt;"",CODE(E75)+LEN(E75),0)</f>
        <v>0</v>
      </c>
    </row>
    <row r="76" spans="1:8" ht="64.5" customHeight="1" x14ac:dyDescent="0.2">
      <c r="A76" s="9" t="s">
        <v>302</v>
      </c>
      <c r="B76" s="10" t="s">
        <v>303</v>
      </c>
      <c r="C76" s="18"/>
      <c r="D76" s="18"/>
      <c r="E76" s="15"/>
      <c r="F76" s="67">
        <v>0.5</v>
      </c>
      <c r="G76" s="67">
        <f t="shared" si="3"/>
        <v>0</v>
      </c>
      <c r="H76" s="55">
        <f>IF(C76="x",333,IF(D76="x",333*2,0))+IF(E76&gt;"",CODE(E76)+LEN(E76),0)</f>
        <v>0</v>
      </c>
    </row>
    <row r="77" spans="1:8" ht="48" x14ac:dyDescent="0.2">
      <c r="A77" s="9" t="s">
        <v>304</v>
      </c>
      <c r="B77" s="10" t="s">
        <v>305</v>
      </c>
      <c r="C77" s="18"/>
      <c r="D77" s="18"/>
      <c r="E77" s="15"/>
      <c r="F77" s="67">
        <v>0.5</v>
      </c>
      <c r="G77" s="67">
        <f t="shared" si="3"/>
        <v>0</v>
      </c>
      <c r="H77" s="55">
        <f>IF(C77="x",334,IF(D77="x",334*2,0))+IF(E77&gt;"",CODE(E77)+LEN(E77),0)</f>
        <v>0</v>
      </c>
    </row>
    <row r="78" spans="1:8" ht="25.5" x14ac:dyDescent="0.2">
      <c r="A78" s="3">
        <v>34</v>
      </c>
      <c r="B78" s="6" t="s">
        <v>306</v>
      </c>
      <c r="C78" s="6" t="s">
        <v>67</v>
      </c>
      <c r="D78" s="6" t="s">
        <v>68</v>
      </c>
      <c r="E78" s="6" t="s">
        <v>8</v>
      </c>
      <c r="F78" s="28"/>
      <c r="G78" s="28"/>
      <c r="H78" s="20">
        <f>SUM(H74:H77)</f>
        <v>0</v>
      </c>
    </row>
    <row r="79" spans="1:8" ht="36.75" x14ac:dyDescent="0.2">
      <c r="A79" s="9" t="s">
        <v>307</v>
      </c>
      <c r="B79" s="10" t="s">
        <v>385</v>
      </c>
      <c r="C79" s="18"/>
      <c r="D79" s="18"/>
      <c r="E79" s="15"/>
      <c r="F79" s="67">
        <v>2</v>
      </c>
      <c r="G79" s="67">
        <f t="shared" ref="G79:G82" si="4">IF(C79="X",F79,0)</f>
        <v>0</v>
      </c>
      <c r="H79" s="55">
        <f>IF(C79="x",341,IF(D79="x",341*2,0))+IF(E79&gt;"",CODE(E79)+LEN(E79),0)</f>
        <v>0</v>
      </c>
    </row>
    <row r="80" spans="1:8" ht="24" x14ac:dyDescent="0.2">
      <c r="A80" s="9" t="s">
        <v>308</v>
      </c>
      <c r="B80" s="10" t="s">
        <v>309</v>
      </c>
      <c r="C80" s="18"/>
      <c r="D80" s="18"/>
      <c r="E80" s="15"/>
      <c r="F80" s="67">
        <v>1</v>
      </c>
      <c r="G80" s="67">
        <f t="shared" si="4"/>
        <v>0</v>
      </c>
      <c r="H80" s="55">
        <f>IF(C80="x",342,IF(D80="x",342*2,0))+IF(E80&gt;"",CODE(E80)+LEN(E80),0)</f>
        <v>0</v>
      </c>
    </row>
    <row r="81" spans="1:8" ht="24" x14ac:dyDescent="0.2">
      <c r="A81" s="9" t="s">
        <v>310</v>
      </c>
      <c r="B81" s="10" t="s">
        <v>311</v>
      </c>
      <c r="C81" s="18"/>
      <c r="D81" s="18"/>
      <c r="E81" s="15"/>
      <c r="F81" s="67">
        <v>1</v>
      </c>
      <c r="G81" s="67">
        <f t="shared" si="4"/>
        <v>0</v>
      </c>
      <c r="H81" s="55">
        <f>IF(C81="x",343,IF(D81="x",343*2,0))+IF(E81&gt;"",CODE(E81)+LEN(E81),0)</f>
        <v>0</v>
      </c>
    </row>
    <row r="82" spans="1:8" ht="60.75" x14ac:dyDescent="0.2">
      <c r="A82" s="9" t="s">
        <v>312</v>
      </c>
      <c r="B82" s="10" t="s">
        <v>313</v>
      </c>
      <c r="C82" s="18"/>
      <c r="D82" s="18"/>
      <c r="E82" s="15"/>
      <c r="F82" s="67">
        <v>1</v>
      </c>
      <c r="G82" s="67">
        <f t="shared" si="4"/>
        <v>0</v>
      </c>
      <c r="H82" s="55">
        <f>IF(C82="x",344,IF(D82="x",344*2,0))+IF(E82&gt;"",CODE(E82)+LEN(E82),0)</f>
        <v>0</v>
      </c>
    </row>
    <row r="83" spans="1:8" ht="25.5" x14ac:dyDescent="0.2">
      <c r="A83" s="3">
        <v>35</v>
      </c>
      <c r="B83" s="6" t="s">
        <v>314</v>
      </c>
      <c r="C83" s="6" t="s">
        <v>67</v>
      </c>
      <c r="D83" s="6" t="s">
        <v>68</v>
      </c>
      <c r="E83" s="6" t="s">
        <v>8</v>
      </c>
      <c r="F83" s="28"/>
      <c r="G83" s="28"/>
      <c r="H83" s="20">
        <f>SUM(H79:H82)</f>
        <v>0</v>
      </c>
    </row>
    <row r="84" spans="1:8" ht="48" x14ac:dyDescent="0.2">
      <c r="A84" s="9" t="s">
        <v>315</v>
      </c>
      <c r="B84" s="10" t="s">
        <v>316</v>
      </c>
      <c r="C84" s="18"/>
      <c r="D84" s="18"/>
      <c r="E84" s="15"/>
      <c r="F84" s="67">
        <v>1</v>
      </c>
      <c r="G84" s="67">
        <f t="shared" ref="G84" si="5">IF(C84="X",F84,0)</f>
        <v>0</v>
      </c>
      <c r="H84" s="55">
        <f>IF(C84="x",351,IF(D84="x",351*2,0))+IF(E84&gt;"",CODE(E84)+LEN(E84),0)</f>
        <v>0</v>
      </c>
    </row>
    <row r="85" spans="1:8" ht="25.5" x14ac:dyDescent="0.2">
      <c r="A85" s="3">
        <v>36</v>
      </c>
      <c r="B85" s="6" t="s">
        <v>317</v>
      </c>
      <c r="C85" s="6" t="s">
        <v>67</v>
      </c>
      <c r="D85" s="6" t="s">
        <v>68</v>
      </c>
      <c r="E85" s="6" t="s">
        <v>8</v>
      </c>
      <c r="F85" s="28"/>
      <c r="G85" s="28"/>
      <c r="H85" s="20">
        <f>SUM(H84)</f>
        <v>0</v>
      </c>
    </row>
    <row r="86" spans="1:8" ht="36.75" x14ac:dyDescent="0.2">
      <c r="A86" s="9" t="s">
        <v>318</v>
      </c>
      <c r="B86" s="10" t="s">
        <v>319</v>
      </c>
      <c r="C86" s="18"/>
      <c r="D86" s="18"/>
      <c r="E86" s="15"/>
      <c r="F86" s="67">
        <v>0.5</v>
      </c>
      <c r="G86" s="67">
        <f t="shared" ref="G86:G88" si="6">IF(C86="X",F86,0)</f>
        <v>0</v>
      </c>
      <c r="H86" s="55">
        <f>IF(C86="x",361,IF(D86="x",361*2,0))+IF(E86&gt;"",CODE(E86)+LEN(E86),0)</f>
        <v>0</v>
      </c>
    </row>
    <row r="87" spans="1:8" ht="24" x14ac:dyDescent="0.2">
      <c r="A87" s="9" t="s">
        <v>320</v>
      </c>
      <c r="B87" s="10" t="s">
        <v>321</v>
      </c>
      <c r="C87" s="18"/>
      <c r="D87" s="18"/>
      <c r="E87" s="15"/>
      <c r="F87" s="67">
        <v>0.5</v>
      </c>
      <c r="G87" s="67">
        <f t="shared" si="6"/>
        <v>0</v>
      </c>
      <c r="H87" s="55">
        <f>IF(C87="x",362,IF(D87="x",362*2,0))+IF(E87&gt;"",CODE(E87)+LEN(E87),0)</f>
        <v>0</v>
      </c>
    </row>
    <row r="88" spans="1:8" ht="38.25" customHeight="1" x14ac:dyDescent="0.2">
      <c r="A88" s="9" t="s">
        <v>322</v>
      </c>
      <c r="B88" s="10" t="s">
        <v>323</v>
      </c>
      <c r="C88" s="15"/>
      <c r="D88" s="15"/>
      <c r="E88" s="15"/>
      <c r="F88" s="67">
        <v>0.5</v>
      </c>
      <c r="G88" s="67">
        <f t="shared" si="6"/>
        <v>0</v>
      </c>
      <c r="H88" s="55">
        <f>IF(C88="x",363,IF(D88="x",363*2,0))+IF(E88&gt;"",CODE(E88)+LEN(E88),0)</f>
        <v>0</v>
      </c>
    </row>
    <row r="89" spans="1:8" x14ac:dyDescent="0.2">
      <c r="A89" s="29"/>
      <c r="C89" s="30"/>
      <c r="D89" s="31"/>
      <c r="E89" s="31"/>
      <c r="F89" s="20">
        <f>SUM(F4:F88)</f>
        <v>62</v>
      </c>
      <c r="G89" s="20">
        <f>SUM(G4:G88)</f>
        <v>0</v>
      </c>
      <c r="H89" s="20">
        <f>SUM(H86:H88)</f>
        <v>0</v>
      </c>
    </row>
    <row r="90" spans="1:8" ht="25.5" x14ac:dyDescent="0.2">
      <c r="F90" s="34" t="s">
        <v>65</v>
      </c>
      <c r="G90" s="26" t="s">
        <v>66</v>
      </c>
    </row>
    <row r="91" spans="1:8" x14ac:dyDescent="0.2">
      <c r="A91" s="100" t="str">
        <f>CONCATENATE("Prüfsumme: ",H7," - ",H11," - ",H15," - ",H18," - ",H22," - ",H26," - ",H28,"  - ",H35," - ",H37," - ",H41," - ",H47," - ",H53," - ",H56," - ",H62," - ",H65," - ",H68," - ",H70," - ",H73," - ",H78," - ",H83," - ",H85," - ",H89)</f>
        <v>Prüfsumme: 0 - 0 - 0 - 0 - 0 - 0 - 0  - 0 - 0 - 0 - 0 - 0 - 0 - 0 - 0 - 0 - 0 - 0 - 0 - 0 - 0 - 0</v>
      </c>
      <c r="B91" s="100"/>
      <c r="C91" s="100"/>
      <c r="D91" s="100"/>
      <c r="E91" s="100"/>
    </row>
  </sheetData>
  <sheetProtection algorithmName="SHA-512" hashValue="S7MHu9DxYESNfUcTn5bDqrnjMxlbcKNT1/GHzFv0itOE0AgBOYxqxa7mcg2yqk+SrQeNK647+q1FnTMhIQbdRA==" saltValue="EoTyhivdQJxPBQAjTwONcw==" spinCount="100000" sheet="1" objects="1" scenarios="1" formatRows="0" selectLockedCells="1"/>
  <mergeCells count="2">
    <mergeCell ref="A2:E2"/>
    <mergeCell ref="A91:E91"/>
  </mergeCells>
  <dataValidations count="2">
    <dataValidation type="textLength" allowBlank="1" showInputMessage="1" showErrorMessage="1" errorTitle="Achtung / attention" error="nicht mehr als 250 Zeichen möglich / not more than 250 characters possible" sqref="E1:E1048576" xr:uid="{00000000-0002-0000-0400-000000000000}">
      <formula1>0</formula1>
      <formula2>250</formula2>
    </dataValidation>
    <dataValidation type="list" allowBlank="1" showInputMessage="1" showErrorMessage="1" sqref="C4:D6 C86:D88 C84:D84 C79:D82 C74:D77 C71:D72 C69:D69 C66:D67 C63:D64 C57:D61 C54:D55 C48:D52 C42:D46 C38:D40 C36:D36 C27:D27 C23:D25 C19:D21 C16:D17 C12:D14 C8:D10 C29:D34" xr:uid="{00000000-0002-0000-0400-000001000000}">
      <formula1>$I$2</formula1>
    </dataValidation>
  </dataValidations>
  <printOptions horizontalCentered="1"/>
  <pageMargins left="0.78740157480314965" right="0.78740157480314965" top="1.1811023622047201" bottom="0.59055118110236204" header="0.196850393700787" footer="0.31496062992126"/>
  <pageSetup paperSize="9" scale="83" fitToHeight="5" orientation="portrait" r:id="rId1"/>
  <headerFooter scaleWithDoc="0">
    <oddHeader>&amp;L&amp;G_x000D__x000D_&amp;"Arial,Standard"&amp;10Formular | Lieferanten Selbstauditierungsbogen direkte Materialien [de] [en]&amp;R&amp;"Arial,Standard"&amp;10&amp;K000000QM Systems &amp; Food Safety (COE)_x000D_FO-ZTR-55514-3_x000D__x000D_&amp;1&amp;K00+000|21f&amp;1 &amp;K00+000|44f6</oddHeader>
    <oddFooter>&amp;L&amp;"Arial,Standard"&amp;8Ansprechperson: Beckers, Mario&amp;C&amp;"Arial,Standard"&amp;8Freigegeben am 13.06.2023&amp;1&amp;K00+000|21f&amp;R&amp;"Arial,Standard"&amp;8&amp;"Arial,Standard"&amp;8&amp;"Arial,Standard"&amp;9Seite &amp;P von &amp;N&amp;1 &amp;K00+000|44f6</oddFooter>
  </headerFooter>
  <rowBreaks count="4" manualBreakCount="4">
    <brk id="17" max="4" man="1"/>
    <brk id="34" max="4" man="1"/>
    <brk id="52" max="4" man="1"/>
    <brk id="69" max="4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ormular" ma:contentTypeID="0x0101002C61E0D02DE31C4CA1B8B60717CCFBDF00E05AA09245BEB34A924FB23810B6AD18" ma:contentTypeVersion="38" ma:contentTypeDescription="Ein neues Excel-Formular erstellen" ma:contentTypeScope="" ma:versionID="fc1764b6018db9d98d48f68ab6b83caa">
  <xsd:schema xmlns:xsd="http://www.w3.org/2001/XMLSchema" xmlns:xs="http://www.w3.org/2001/XMLSchema" xmlns:p="http://schemas.microsoft.com/office/2006/metadata/properties" xmlns:ns1="http://schemas.microsoft.com/sharepoint/v3" xmlns:ns2="2d8107b1-aefc-4a66-a510-c40df0681a42" xmlns:ns3="86fb93b8-c02b-4be4-b8da-8a9a37753ac8" xmlns:ns4="559c13f8-cbbb-474e-982e-ba53c90025ed" targetNamespace="http://schemas.microsoft.com/office/2006/metadata/properties" ma:root="true" ma:fieldsID="3cd11b1cf2471866db78431c22940760" ns1:_="" ns2:_="" ns3:_="" ns4:_="">
    <xsd:import namespace="http://schemas.microsoft.com/sharepoint/v3"/>
    <xsd:import namespace="2d8107b1-aefc-4a66-a510-c40df0681a42"/>
    <xsd:import namespace="86fb93b8-c02b-4be4-b8da-8a9a37753ac8"/>
    <xsd:import namespace="559c13f8-cbbb-474e-982e-ba53c90025ed"/>
    <xsd:element name="properties">
      <xsd:complexType>
        <xsd:sequence>
          <xsd:element name="documentManagement">
            <xsd:complexType>
              <xsd:all>
                <xsd:element ref="ns2:DokumenttypTaxHTField0" minOccurs="0"/>
                <xsd:element ref="ns3:TaxCatchAll" minOccurs="0"/>
                <xsd:element ref="ns4:TaxCatchAllLabel" minOccurs="0"/>
                <xsd:element ref="ns2:Bearbeitet_von" minOccurs="0"/>
                <xsd:element ref="ns2:Erstellt_von" minOccurs="0"/>
                <xsd:element ref="ns2:Erstellt_am" minOccurs="0"/>
                <xsd:element ref="ns2:Geltungsbereich_WerkTaxHTField0" minOccurs="0"/>
                <xsd:element ref="ns2:Geltungsbereich_AbteilungTaxHTField0" minOccurs="0"/>
                <xsd:element ref="ns2:Geltungsbereich_StandortTaxHTField0" minOccurs="0"/>
                <xsd:element ref="ns2:ManagementsystemeTaxHTField0" minOccurs="0"/>
                <xsd:element ref="ns2:Pruefer" minOccurs="0"/>
                <xsd:element ref="ns2:Pruefungsdatum" minOccurs="0"/>
                <xsd:element ref="ns2:Freigeber" minOccurs="0"/>
                <xsd:element ref="ns2:Freigabedatum" minOccurs="0"/>
                <xsd:element ref="ns1:_dlc_Exempt" minOccurs="0"/>
                <xsd:element ref="ns2:DLCPolicyLabelValue" minOccurs="0"/>
                <xsd:element ref="ns2:DLCPolicyLabelClientValue" minOccurs="0"/>
                <xsd:element ref="ns2:DLCPolicyLabelLock" minOccurs="0"/>
                <xsd:element ref="ns2:Grund_der_Aenderung" minOccurs="0"/>
                <xsd:element ref="ns3:TaxKeywordTaxHTField" minOccurs="0"/>
                <xsd:element ref="ns2:Herkunft_x0020_Abteilung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7" nillable="true" ma:displayName="Von der Richtlinie ausgenommen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8107b1-aefc-4a66-a510-c40df0681a42" elementFormDefault="qualified">
    <xsd:import namespace="http://schemas.microsoft.com/office/2006/documentManagement/types"/>
    <xsd:import namespace="http://schemas.microsoft.com/office/infopath/2007/PartnerControls"/>
    <xsd:element name="DokumenttypTaxHTField0" ma:index="8" nillable="true" ma:taxonomy="true" ma:internalName="DokumenttypTaxHTField0" ma:taxonomyFieldName="Dokumenttyp" ma:displayName="Dokumentenart" ma:indexed="true" ma:readOnly="false" ma:default="" ma:fieldId="{7fb15baf-3726-4795-ad24-5d0a3c3e8f4f}" ma:sspId="4b00a758-05f4-4b11-badd-88e3884cc28d" ma:termSetId="a58390b6-432e-4eae-b98a-b8db003c1c2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earbeitet_von" ma:index="12" nillable="true" ma:displayName="Bearbeitet von" ma:list="UserInfo" ma:SharePointGroup="0" ma:internalName="Bearbeitet_von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rstellt_von" ma:index="13" nillable="true" ma:displayName="Erstellt von (Person)" ma:list="UserInfo" ma:SharePointGroup="0" ma:internalName="Erstellt_vo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rstellt_am" ma:index="14" nillable="true" ma:displayName="Erstellt am" ma:format="DateOnly" ma:internalName="Erstellt_am" ma:readOnly="false">
      <xsd:simpleType>
        <xsd:restriction base="dms:DateTime"/>
      </xsd:simpleType>
    </xsd:element>
    <xsd:element name="Geltungsbereich_WerkTaxHTField0" ma:index="15" nillable="true" ma:taxonomy="true" ma:internalName="Geltungsbereich_WerkTaxHTField0" ma:taxonomyFieldName="Geltungsbereich_Werk" ma:displayName="Geltungsbereich Organisation" ma:readOnly="false" ma:default="" ma:fieldId="{a5022a8b-8063-4519-b189-ddfaf6a4d9e7}" ma:taxonomyMulti="true" ma:sspId="4b00a758-05f4-4b11-badd-88e3884cc28d" ma:termSetId="31fb30c1-37f7-4e34-8b11-ed2e4d2cf2e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Geltungsbereich_AbteilungTaxHTField0" ma:index="17" nillable="true" ma:taxonomy="true" ma:internalName="Geltungsbereich_AbteilungTaxHTField0" ma:taxonomyFieldName="Geltungsbereich_Abteilung" ma:displayName="Geltungsbereich Abteilung" ma:readOnly="false" ma:default="" ma:fieldId="{d69b3311-f2d6-4688-b56a-8dca3590173b}" ma:taxonomyMulti="true" ma:sspId="4b00a758-05f4-4b11-badd-88e3884cc28d" ma:termSetId="255f961b-4b01-40ae-9be3-a24c9faa98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Geltungsbereich_StandortTaxHTField0" ma:index="19" nillable="true" ma:taxonomy="true" ma:internalName="Geltungsbereich_StandortTaxHTField0" ma:taxonomyFieldName="Geltungsbereich_Standort" ma:displayName="Geltungsbereich Werk" ma:readOnly="false" ma:default="" ma:fieldId="{f76c1dde-d870-4fbe-bad1-2a99afcf5304}" ma:taxonomyMulti="true" ma:sspId="4b00a758-05f4-4b11-badd-88e3884cc28d" ma:termSetId="de33beaf-beb6-4c7c-82cb-74f1dd84471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anagementsystemeTaxHTField0" ma:index="21" nillable="true" ma:taxonomy="true" ma:internalName="ManagementsystemeTaxHTField0" ma:taxonomyFieldName="Managementsysteme" ma:displayName="Managementsysteme" ma:readOnly="false" ma:default="" ma:fieldId="{956b4ae2-9ae9-435a-a6d9-59601da7bb03}" ma:taxonomyMulti="true" ma:sspId="4b00a758-05f4-4b11-badd-88e3884cc28d" ma:termSetId="0f93e1a8-316c-4121-a0c3-d22af189404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Pruefer" ma:index="23" nillable="true" ma:displayName="Prüfer" ma:list="UserInfo" ma:SharePointGroup="0" ma:internalName="Pruef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uefungsdatum" ma:index="24" nillable="true" ma:displayName="Prüfungsdatum" ma:description="Dieses Feld wird automatisch über den Workflow gefüllt" ma:format="DateOnly" ma:internalName="Pruefungsdatum" ma:readOnly="false">
      <xsd:simpleType>
        <xsd:restriction base="dms:DateTime"/>
      </xsd:simpleType>
    </xsd:element>
    <xsd:element name="Freigeber" ma:index="25" nillable="true" ma:displayName="Freigeber" ma:list="UserInfo" ma:SharePointGroup="0" ma:internalName="Freigeb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reigabedatum" ma:index="26" nillable="true" ma:displayName="Freigabedatum" ma:description="Dieses Feld wird automatisch über den Workflow gefüllt" ma:format="DateOnly" ma:internalName="Freigabedatum" ma:readOnly="false">
      <xsd:simpleType>
        <xsd:restriction base="dms:DateTime"/>
      </xsd:simpleType>
    </xsd:element>
    <xsd:element name="DLCPolicyLabelValue" ma:index="28" nillable="true" ma:displayName="Bezeichnung" ma:description="Speichert den aktuellen Wert der Bezeichnung." ma:internalName="DLCPolicyLabelValue" ma:readOnly="true">
      <xsd:simpleType>
        <xsd:restriction base="dms:Note">
          <xsd:maxLength value="255"/>
        </xsd:restriction>
      </xsd:simpleType>
    </xsd:element>
    <xsd:element name="DLCPolicyLabelClientValue" ma:index="29" nillable="true" ma:displayName="Clientbezeichnungswert" ma:description="Speichert den letzten Bezeichnungswert, der auf dem Client errechnet wurde." ma:hidden="true" ma:internalName="DLCPolicyLabelClientValue" ma:readOnly="false">
      <xsd:simpleType>
        <xsd:restriction base="dms:Note"/>
      </xsd:simpleType>
    </xsd:element>
    <xsd:element name="DLCPolicyLabelLock" ma:index="30" nillable="true" ma:displayName="Bezeichnung gesperrt" ma:description="Gibt an, ob die Bezeichnung zu aktualisieren ist, wenn Elementeigenschaften geändert werden." ma:hidden="true" ma:internalName="DLCPolicyLabelLock" ma:readOnly="false">
      <xsd:simpleType>
        <xsd:restriction base="dms:Text"/>
      </xsd:simpleType>
    </xsd:element>
    <xsd:element name="Grund_der_Aenderung" ma:index="31" nillable="true" ma:displayName="Grund der Änderung" ma:description="Bei Erstversionen bleibt dieses Feld leer" ma:internalName="Grund_x0020_der_x0020__x00c4_nderung">
      <xsd:simpleType>
        <xsd:restriction base="dms:Note">
          <xsd:maxLength value="255"/>
        </xsd:restriction>
      </xsd:simpleType>
    </xsd:element>
    <xsd:element name="Herkunft_x0020_AbteilungTaxHTField0" ma:index="35" nillable="true" ma:taxonomy="true" ma:internalName="Herkunft_x0020_AbteilungTaxHTField0" ma:taxonomyFieldName="Herkunft_x0020_Abteilung" ma:displayName="Herkunft Abteilung" ma:indexed="true" ma:fieldId="{993401e9-d594-42a0-a169-bd9ff0338339}" ma:sspId="4b00a758-05f4-4b11-badd-88e3884cc28d" ma:termSetId="999e4021-351e-4299-b646-52029666c978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fb93b8-c02b-4be4-b8da-8a9a37753ac8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iespalte &quot;Alle abfangen&quot;" ma:description="" ma:hidden="true" ma:list="{79407E8B-8C58-4139-9DFF-A5583ABD9CBF}" ma:internalName="TaxCatchAll" ma:readOnly="false" ma:showField="CatchAllData" ma:web="{559c13f8-cbbb-474e-982e-ba53c90025ed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33" nillable="true" ma:taxonomy="true" ma:internalName="TaxKeywordTaxHTField" ma:taxonomyFieldName="Schlagw_x00f6_rter" ma:displayName="Schlagwörter" ma:readOnly="false" ma:fieldId="{23f27201-bee3-471e-b2e7-b64fd8b7ca38}" ma:taxonomyMulti="true" ma:sspId="4b00a758-05f4-4b11-badd-88e3884cc28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9c13f8-cbbb-474e-982e-ba53c90025ed" elementFormDefault="qualified">
    <xsd:import namespace="http://schemas.microsoft.com/office/2006/documentManagement/types"/>
    <xsd:import namespace="http://schemas.microsoft.com/office/infopath/2007/PartnerControls"/>
    <xsd:element name="TaxCatchAllLabel" ma:index="10" nillable="true" ma:displayName="Taxonomiespalte &quot;Alle abfangen&quot;1" ma:description="" ma:hidden="true" ma:list="{79407e8b-8c58-4139-9dff-a5583abd9cbf}" ma:internalName="TaxCatchAllLabel" ma:readOnly="true" ma:showField="CatchAllDataLabel" ma:web="559c13f8-cbbb-474e-982e-ba53c90025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0DFD0FD93C9FE4BBA8276D95AF2F3FA" ma:contentTypeVersion="13" ma:contentTypeDescription="Ein neues Dokument erstellen." ma:contentTypeScope="" ma:versionID="f355df6b08bb6d7de556bc2fe616e9ed">
  <xsd:schema xmlns:xsd="http://www.w3.org/2001/XMLSchema" xmlns:xs="http://www.w3.org/2001/XMLSchema" xmlns:p="http://schemas.microsoft.com/office/2006/metadata/properties" xmlns:ns2="934073fe-12c7-4997-99d1-f07b816ed49c" xmlns:ns3="9f35b0e3-9775-4e6e-a138-9ee58fd587d5" targetNamespace="http://schemas.microsoft.com/office/2006/metadata/properties" ma:root="true" ma:fieldsID="34ba053103f460d47dc9863ffa89a027" ns2:_="" ns3:_="">
    <xsd:import namespace="934073fe-12c7-4997-99d1-f07b816ed49c"/>
    <xsd:import namespace="9f35b0e3-9775-4e6e-a138-9ee58fd587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073fe-12c7-4997-99d1-f07b816ed4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ierungen" ma:readOnly="false" ma:fieldId="{5cf76f15-5ced-4ddc-b409-7134ff3c332f}" ma:taxonomyMulti="true" ma:sspId="5b9e9c6e-431d-4c17-a3d1-b85d6442b9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35b0e3-9775-4e6e-a138-9ee58fd587d5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74db3e4-e6dd-428a-9478-d826f38eabe0}" ma:internalName="TaxCatchAll" ma:showField="CatchAllData" ma:web="9f35b0e3-9775-4e6e-a138-9ee58fd587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f35b0e3-9775-4e6e-a138-9ee58fd587d5">
      <Value>295</Value>
      <Value>478</Value>
      <Value>437</Value>
      <Value>508</Value>
      <Value>1277</Value>
      <Value>29</Value>
      <Value>169</Value>
      <Value>214</Value>
      <Value>213</Value>
      <Value>27</Value>
      <Value>1314</Value>
      <Value>186</Value>
      <Value>691</Value>
      <Value>445</Value>
    </TaxCatchAll>
    <lcf76f155ced4ddcb4097134ff3c332f xmlns="934073fe-12c7-4997-99d1-f07b816ed49c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2BA3F6-A9D2-4247-B38A-3691B3ED0D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d8107b1-aefc-4a66-a510-c40df0681a42"/>
    <ds:schemaRef ds:uri="86fb93b8-c02b-4be4-b8da-8a9a37753ac8"/>
    <ds:schemaRef ds:uri="559c13f8-cbbb-474e-982e-ba53c90025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98163F-A5DD-48F8-8151-BAC49BE701DD}"/>
</file>

<file path=customXml/itemProps3.xml><?xml version="1.0" encoding="utf-8"?>
<ds:datastoreItem xmlns:ds="http://schemas.openxmlformats.org/officeDocument/2006/customXml" ds:itemID="{1350BE82-857C-40A4-B1BA-7B2D90D5055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86fb93b8-c02b-4be4-b8da-8a9a37753ac8"/>
    <ds:schemaRef ds:uri="559c13f8-cbbb-474e-982e-ba53c90025ed"/>
    <ds:schemaRef ds:uri="http://schemas.microsoft.com/office/2006/metadata/properties"/>
    <ds:schemaRef ds:uri="2d8107b1-aefc-4a66-a510-c40df0681a42"/>
    <ds:schemaRef ds:uri="http://purl.org/dc/terms/"/>
    <ds:schemaRef ds:uri="http://schemas.microsoft.com/sharepoint/v3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C135BF7-1971-4A27-8E19-F69E05D687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8</vt:i4>
      </vt:variant>
    </vt:vector>
  </HeadingPairs>
  <TitlesOfParts>
    <vt:vector size="13" baseType="lpstr">
      <vt:lpstr>Menü</vt:lpstr>
      <vt:lpstr>Zutaten Teil1 ingredients</vt:lpstr>
      <vt:lpstr> Zutaten Teil2 ohne BRC IFS</vt:lpstr>
      <vt:lpstr>Verpackungen Teil1 packaging</vt:lpstr>
      <vt:lpstr>Verpackungen Teil2 ohne_BRC</vt:lpstr>
      <vt:lpstr>' Zutaten Teil2 ohne BRC IFS'!Druckbereich</vt:lpstr>
      <vt:lpstr>'Verpackungen Teil1 packaging'!Druckbereich</vt:lpstr>
      <vt:lpstr>'Verpackungen Teil2 ohne_BRC'!Druckbereich</vt:lpstr>
      <vt:lpstr>'Zutaten Teil1 ingredients'!Druckbereich</vt:lpstr>
      <vt:lpstr>' Zutaten Teil2 ohne BRC IFS'!Drucktitel</vt:lpstr>
      <vt:lpstr>'Verpackungen Teil1 packaging'!Drucktitel</vt:lpstr>
      <vt:lpstr>'Verpackungen Teil2 ohne_BRC'!Drucktitel</vt:lpstr>
      <vt:lpstr>'Zutaten Teil1 ingredients'!Drucktitel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2019-04-01T08:44:20Z</cp:lastPrinted>
  <dcterms:created xsi:type="dcterms:W3CDTF">2006-09-16T00:00:00Z</dcterms:created>
  <dcterms:modified xsi:type="dcterms:W3CDTF">2023-06-14T06:54:12Z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0x0101002C61E0D02DE31C4CA1B8B60717CCFBDF00E05AA09245BEB34A924FB23810B6AD18</vt:lpwstr>
  </property>
  <property fmtid="{D5CDD505-2E9C-101B-9397-08002B2CF9AE}" pid="3" name="1. Prüfer">
    <vt:lpwstr/>
  </property>
  <property fmtid="{D5CDD505-2E9C-101B-9397-08002B2CF9AE}" pid="4" name="Herausgeber">
    <vt:lpwstr/>
  </property>
  <property fmtid="{D5CDD505-2E9C-101B-9397-08002B2CF9AE}" pid="5" name="Bearbeitet von">
    <vt:lpwstr/>
  </property>
  <property fmtid="{D5CDD505-2E9C-101B-9397-08002B2CF9AE}" pid="6" name="DLCPolicyLabelValue">
    <vt:lpwstr>{_UIVersionString}</vt:lpwstr>
  </property>
  <property fmtid="{D5CDD505-2E9C-101B-9397-08002B2CF9AE}" pid="7" name="DLCPolicyLabelClientValue">
    <vt:lpwstr>{_UIVersionString}</vt:lpwstr>
  </property>
  <property fmtid="{D5CDD505-2E9C-101B-9397-08002B2CF9AE}" pid="8" name="2. Prüfer">
    <vt:lpwstr/>
  </property>
  <property fmtid="{D5CDD505-2E9C-101B-9397-08002B2CF9AE}" pid="9" name="Erstellt am (Datum)">
    <vt:lpwstr/>
  </property>
  <property fmtid="{D5CDD505-2E9C-101B-9397-08002B2CF9AE}" pid="10" name="Geltungsbereich Abteilung">
    <vt:lpwstr/>
  </property>
  <property fmtid="{D5CDD505-2E9C-101B-9397-08002B2CF9AE}" pid="11" name="Datum 1. Prüfer">
    <vt:lpwstr/>
  </property>
  <property fmtid="{D5CDD505-2E9C-101B-9397-08002B2CF9AE}" pid="12" name="Managementsystem">
    <vt:lpwstr/>
  </property>
  <property fmtid="{D5CDD505-2E9C-101B-9397-08002B2CF9AE}" pid="13" name="Dokumenttyp">
    <vt:lpwstr>478;#Formular|f7cc0b20-0740-44d0-a5cc-bef369407ab5</vt:lpwstr>
  </property>
  <property fmtid="{D5CDD505-2E9C-101B-9397-08002B2CF9AE}" pid="14" name="Geltungsbereich Werk">
    <vt:lpwstr/>
  </property>
  <property fmtid="{D5CDD505-2E9C-101B-9397-08002B2CF9AE}" pid="15" name="Geltungsbereich Standort">
    <vt:lpwstr/>
  </property>
  <property fmtid="{D5CDD505-2E9C-101B-9397-08002B2CF9AE}" pid="16" name="DLCPolicyLabelLock">
    <vt:lpwstr/>
  </property>
  <property fmtid="{D5CDD505-2E9C-101B-9397-08002B2CF9AE}" pid="17" name="Datum 2. Prüfer">
    <vt:lpwstr/>
  </property>
  <property fmtid="{D5CDD505-2E9C-101B-9397-08002B2CF9AE}" pid="18" name="Schlagw_x00f6_rter">
    <vt:lpwstr>691;#LSA|19bad65b-30db-4dc1-a18a-fe778d4471be;#1314;#direkte Materialien|3ae80caa-2d11-4d94-9425-1796c517cc82;#1277;#Lieferanten|1e720d12-0617-465a-bab7-d3ea2c2399ca</vt:lpwstr>
  </property>
  <property fmtid="{D5CDD505-2E9C-101B-9397-08002B2CF9AE}" pid="19" name="Geltungsbereich_Abteilung">
    <vt:lpwstr>437;#Alle|51e5f3be-fe20-4c28-a3ef-c233890b3809</vt:lpwstr>
  </property>
  <property fmtid="{D5CDD505-2E9C-101B-9397-08002B2CF9AE}" pid="20" name="Geltungsbereich_Werk">
    <vt:lpwstr>169;#DMK GmbH|10afcac6-d193-4554-a726-92299768f0c6;#186;#DMK Versicherungskontor GmbH|93787b81-f1c4-4c33-9456-be89083a0344;#445;#Euro Cheese Vertriebs-GmbH|68f7933c-a361-41e4-9c4c-9b05501c355a;#214;#Müritz Milch GmbH|619f1b1b-3051-4747-8739-a7b69cfb0a5c;#</vt:lpwstr>
  </property>
  <property fmtid="{D5CDD505-2E9C-101B-9397-08002B2CF9AE}" pid="21" name="Geltungsbereich_Standort">
    <vt:lpwstr>27;#Alle|945dd104-b73f-44fd-be49-acad593636cb</vt:lpwstr>
  </property>
  <property fmtid="{D5CDD505-2E9C-101B-9397-08002B2CF9AE}" pid="22" name="Herkunft Abteilung">
    <vt:lpwstr>508;#Qualitätsmanagement|5bd203e1-931c-4913-9a33-9bbffd552b05</vt:lpwstr>
  </property>
  <property fmtid="{D5CDD505-2E9C-101B-9397-08002B2CF9AE}" pid="23" name="Managementsysteme">
    <vt:lpwstr>29;#Qualität|3b71dab2-6e8c-44e6-bfd3-d307c0ff625a</vt:lpwstr>
  </property>
  <property fmtid="{D5CDD505-2E9C-101B-9397-08002B2CF9AE}" pid="24" name="Schlagwörter">
    <vt:lpwstr/>
  </property>
  <property fmtid="{D5CDD505-2E9C-101B-9397-08002B2CF9AE}" pid="26" name="_NewReviewCycle">
    <vt:lpwstr/>
  </property>
</Properties>
</file>